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945" tabRatio="720" activeTab="0"/>
  </bookViews>
  <sheets>
    <sheet name="Расчет" sheetId="1" r:id="rId1"/>
    <sheet name="Толщ." sheetId="2" r:id="rId2"/>
    <sheet name="Углы" sheetId="3" r:id="rId3"/>
    <sheet name="Оконч.чертеж" sheetId="4" r:id="rId4"/>
    <sheet name="R=100" sheetId="5" r:id="rId5"/>
    <sheet name="R=0.2" sheetId="6" r:id="rId6"/>
    <sheet name="R=0.3" sheetId="7" r:id="rId7"/>
    <sheet name="R=0.4" sheetId="8" r:id="rId8"/>
    <sheet name="R=0.5" sheetId="9" r:id="rId9"/>
    <sheet name="R=0.6" sheetId="10" r:id="rId10"/>
    <sheet name="R=0.7" sheetId="11" r:id="rId11"/>
    <sheet name="R=0.8" sheetId="12" r:id="rId12"/>
    <sheet name="R=0.9" sheetId="13" r:id="rId13"/>
    <sheet name="R=1.0" sheetId="14" r:id="rId14"/>
  </sheets>
  <definedNames>
    <definedName name="__123Graph_A" hidden="1">'Расчет'!$AH$74:$AH$90</definedName>
    <definedName name="__123Graph_AGraph1" hidden="1">'Расчет'!$AH$74:$AH$90</definedName>
    <definedName name="__123Graph_X" hidden="1">'Расчет'!$AG$74:$AG$90</definedName>
    <definedName name="__123Graph_XGraph1" hidden="1">'Расчет'!$AG$74:$AG$90</definedName>
    <definedName name="Область_печати_ИМ" localSheetId="0">'Расчет'!$A$3:$H$33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<sst xmlns="http://schemas.openxmlformats.org/spreadsheetml/2006/main" count="217" uniqueCount="92">
  <si>
    <t>Об/сек</t>
  </si>
  <si>
    <t>Нач уст</t>
  </si>
  <si>
    <t>тангенс</t>
  </si>
  <si>
    <t>радиус</t>
  </si>
  <si>
    <t>шаг</t>
  </si>
  <si>
    <t>Wокр</t>
  </si>
  <si>
    <t>км/ч</t>
  </si>
  <si>
    <t>R0.75</t>
  </si>
  <si>
    <t>Nл.с.</t>
  </si>
  <si>
    <t>Cy</t>
  </si>
  <si>
    <t>Кол.лоп</t>
  </si>
  <si>
    <t>D</t>
  </si>
  <si>
    <t>b0.75</t>
  </si>
  <si>
    <t>угол0.75</t>
  </si>
  <si>
    <t>Vкм/ч</t>
  </si>
  <si>
    <t>R</t>
  </si>
  <si>
    <t>Bl</t>
  </si>
  <si>
    <t>COS</t>
  </si>
  <si>
    <t>B</t>
  </si>
  <si>
    <t>C1</t>
  </si>
  <si>
    <t>C</t>
  </si>
  <si>
    <t>SIN</t>
  </si>
  <si>
    <t>hc</t>
  </si>
  <si>
    <t>b/D</t>
  </si>
  <si>
    <t>R0.2</t>
  </si>
  <si>
    <t>R0.3</t>
  </si>
  <si>
    <t>R0.4</t>
  </si>
  <si>
    <t>R0.5</t>
  </si>
  <si>
    <t>R0.6</t>
  </si>
  <si>
    <t>R0.7</t>
  </si>
  <si>
    <t>R0.8</t>
  </si>
  <si>
    <t>R0.9</t>
  </si>
  <si>
    <t>раф-6</t>
  </si>
  <si>
    <t>угол</t>
  </si>
  <si>
    <t>%</t>
  </si>
  <si>
    <t>%B</t>
  </si>
  <si>
    <t>Yc</t>
  </si>
  <si>
    <t>Xc</t>
  </si>
  <si>
    <t>Yn</t>
  </si>
  <si>
    <t>Xn</t>
  </si>
  <si>
    <t>Ширина в</t>
  </si>
  <si>
    <t>плане</t>
  </si>
  <si>
    <t>Хорда</t>
  </si>
  <si>
    <t>Толщина</t>
  </si>
  <si>
    <t>в плане</t>
  </si>
  <si>
    <t>текущ.</t>
  </si>
  <si>
    <t>кг/сек</t>
  </si>
  <si>
    <t>Шаг, м</t>
  </si>
  <si>
    <t>Относительная</t>
  </si>
  <si>
    <t>ширина</t>
  </si>
  <si>
    <t>Отношение</t>
  </si>
  <si>
    <t>Диаметр D, м</t>
  </si>
  <si>
    <t>n винта, об/мин</t>
  </si>
  <si>
    <t>n двиг.,об/мин</t>
  </si>
  <si>
    <t>Мощн. Двигателя</t>
  </si>
  <si>
    <t>k редуктора</t>
  </si>
  <si>
    <t>Коэф. Подъем.</t>
  </si>
  <si>
    <t>Ширина</t>
  </si>
  <si>
    <t>лопасти</t>
  </si>
  <si>
    <t>Угол</t>
  </si>
  <si>
    <t>установки</t>
  </si>
  <si>
    <t>Кол-во воздуха</t>
  </si>
  <si>
    <t>Коэфф.</t>
  </si>
  <si>
    <t>Площ</t>
  </si>
  <si>
    <t>профиля</t>
  </si>
  <si>
    <t>Объем</t>
  </si>
  <si>
    <t>см3 на 1 лопасть</t>
  </si>
  <si>
    <t>Для построения</t>
  </si>
  <si>
    <t>предварительного</t>
  </si>
  <si>
    <t>чертежа</t>
  </si>
  <si>
    <t>Определение объема</t>
  </si>
  <si>
    <t>Радиус для</t>
  </si>
  <si>
    <t>построен.</t>
  </si>
  <si>
    <t>Тяга, кг</t>
  </si>
  <si>
    <t>Wок, м/с</t>
  </si>
  <si>
    <t xml:space="preserve">РАСЧЕТ ВИНТА </t>
  </si>
  <si>
    <t>Гильфанов И.Р.</t>
  </si>
  <si>
    <t>Примечание: В зеленых ячейках можно менять данные (в реальных конечно масштабах)</t>
  </si>
  <si>
    <t>Скорость расчитана без учета коэф.подъемной силы (реально будет больше)</t>
  </si>
  <si>
    <t xml:space="preserve">Можно переделать расчет и под постоянный шаг </t>
  </si>
  <si>
    <t>Поворот</t>
  </si>
  <si>
    <t>шаблона</t>
  </si>
  <si>
    <t>Для этого скорректировать коэфф. С ячейках F22-F31</t>
  </si>
  <si>
    <t>&lt;-- Этот блок</t>
  </si>
  <si>
    <t>для просмотра</t>
  </si>
  <si>
    <t>изменения</t>
  </si>
  <si>
    <t>шага при измен.</t>
  </si>
  <si>
    <t>угла установки</t>
  </si>
  <si>
    <t>крутка, град</t>
  </si>
  <si>
    <t>кг из Al</t>
  </si>
  <si>
    <t>кг из ЭП</t>
  </si>
  <si>
    <t>кг из сосны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</si>
</sst>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#,##0.000_);\(#,##0.000\)"/>
    <numFmt numFmtId="167" formatCode="#,##0.0_);\(#,##0.0\)"/>
    <numFmt numFmtId="168" formatCode="0.0"/>
    <numFmt numFmtId="169" formatCode="0.0000"/>
    <numFmt numFmtId="170" formatCode="0.00000"/>
    <numFmt numFmtId="171" formatCode="0.000"/>
  </numFmts>
  <fonts count="16">
    <font>
      <sz val="10"/>
      <name val="Courier"/>
      <family val="0"/>
    </font>
    <font>
      <sz val="10"/>
      <name val="Arial Cyr"/>
      <family val="0"/>
    </font>
    <font>
      <sz val="10"/>
      <color indexed="12"/>
      <name val="Courier"/>
      <family val="0"/>
    </font>
    <font>
      <b/>
      <sz val="10"/>
      <name val="Courier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Courier"/>
      <family val="3"/>
    </font>
    <font>
      <sz val="5.75"/>
      <name val="Arial Cyr"/>
      <family val="0"/>
    </font>
    <font>
      <sz val="1.75"/>
      <name val="Arial Cyr"/>
      <family val="0"/>
    </font>
    <font>
      <b/>
      <sz val="4.25"/>
      <name val="Arial Cyr"/>
      <family val="2"/>
    </font>
    <font>
      <sz val="4.25"/>
      <name val="Arial Cyr"/>
      <family val="2"/>
    </font>
    <font>
      <b/>
      <sz val="9"/>
      <name val="Arial Cyr"/>
      <family val="0"/>
    </font>
    <font>
      <sz val="8"/>
      <name val="Arial Cyr"/>
      <family val="0"/>
    </font>
    <font>
      <sz val="8.25"/>
      <name val="Arial Cyr"/>
      <family val="0"/>
    </font>
    <font>
      <sz val="11"/>
      <name val="Arial Cyr"/>
      <family val="0"/>
    </font>
    <font>
      <b/>
      <sz val="11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5" fontId="0" fillId="2" borderId="0" xfId="0" applyNumberFormat="1" applyFill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164" fontId="0" fillId="0" borderId="1" xfId="0" applyNumberFormat="1" applyBorder="1" applyAlignment="1" applyProtection="1">
      <alignment horizontal="right"/>
      <protection/>
    </xf>
    <xf numFmtId="165" fontId="0" fillId="3" borderId="1" xfId="0" applyNumberFormat="1" applyFill="1" applyBorder="1" applyAlignment="1" applyProtection="1">
      <alignment/>
      <protection/>
    </xf>
    <xf numFmtId="166" fontId="0" fillId="3" borderId="1" xfId="0" applyNumberFormat="1" applyFill="1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/>
    </xf>
    <xf numFmtId="166" fontId="0" fillId="4" borderId="1" xfId="0" applyNumberFormat="1" applyFill="1" applyBorder="1" applyAlignment="1" applyProtection="1">
      <alignment/>
      <protection/>
    </xf>
    <xf numFmtId="164" fontId="0" fillId="2" borderId="1" xfId="0" applyNumberForma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5" fontId="3" fillId="2" borderId="0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3" borderId="1" xfId="0" applyNumberFormat="1" applyFill="1" applyBorder="1" applyAlignment="1" applyProtection="1">
      <alignment horizontal="center"/>
      <protection/>
    </xf>
    <xf numFmtId="0" fontId="2" fillId="5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165" fontId="0" fillId="3" borderId="5" xfId="0" applyNumberForma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horizontal="center"/>
      <protection/>
    </xf>
    <xf numFmtId="166" fontId="0" fillId="2" borderId="1" xfId="0" applyNumberFormat="1" applyFill="1" applyBorder="1" applyAlignment="1" applyProtection="1">
      <alignment/>
      <protection/>
    </xf>
    <xf numFmtId="165" fontId="0" fillId="2" borderId="1" xfId="0" applyNumberFormat="1" applyFill="1" applyBorder="1" applyAlignment="1" applyProtection="1">
      <alignment/>
      <protection/>
    </xf>
    <xf numFmtId="165" fontId="0" fillId="2" borderId="6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2" borderId="7" xfId="0" applyNumberForma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/>
    </xf>
    <xf numFmtId="165" fontId="0" fillId="4" borderId="1" xfId="0" applyNumberFormat="1" applyFill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166" fontId="0" fillId="3" borderId="1" xfId="0" applyNumberFormat="1" applyFill="1" applyBorder="1" applyAlignment="1" applyProtection="1">
      <alignment horizontal="center"/>
      <protection/>
    </xf>
    <xf numFmtId="166" fontId="0" fillId="2" borderId="1" xfId="0" applyNumberFormat="1" applyFill="1" applyBorder="1" applyAlignment="1" applyProtection="1">
      <alignment horizontal="center"/>
      <protection/>
    </xf>
    <xf numFmtId="166" fontId="3" fillId="3" borderId="1" xfId="0" applyNumberFormat="1" applyFont="1" applyFill="1" applyBorder="1" applyAlignment="1" applyProtection="1">
      <alignment horizontal="right"/>
      <protection/>
    </xf>
    <xf numFmtId="0" fontId="3" fillId="3" borderId="1" xfId="0" applyFon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7" fontId="2" fillId="3" borderId="1" xfId="0" applyNumberFormat="1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167" fontId="2" fillId="2" borderId="1" xfId="0" applyNumberFormat="1" applyFont="1" applyFill="1" applyBorder="1" applyAlignment="1" applyProtection="1">
      <alignment/>
      <protection/>
    </xf>
    <xf numFmtId="167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right"/>
      <protection/>
    </xf>
    <xf numFmtId="170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0" fillId="6" borderId="4" xfId="0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7" fontId="2" fillId="7" borderId="1" xfId="0" applyNumberFormat="1" applyFont="1" applyFill="1" applyBorder="1" applyAlignment="1" applyProtection="1">
      <alignment/>
      <protection/>
    </xf>
    <xf numFmtId="164" fontId="2" fillId="6" borderId="1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164" fontId="2" fillId="4" borderId="0" xfId="0" applyNumberFormat="1" applyFont="1" applyFill="1" applyAlignment="1" applyProtection="1">
      <alignment/>
      <protection/>
    </xf>
    <xf numFmtId="170" fontId="2" fillId="4" borderId="0" xfId="0" applyNumberFormat="1" applyFont="1" applyFill="1" applyAlignment="1" applyProtection="1">
      <alignment/>
      <protection/>
    </xf>
    <xf numFmtId="168" fontId="2" fillId="4" borderId="0" xfId="0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 horizontal="center"/>
      <protection/>
    </xf>
    <xf numFmtId="169" fontId="2" fillId="4" borderId="0" xfId="0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/>
      <protection/>
    </xf>
    <xf numFmtId="2" fontId="2" fillId="2" borderId="0" xfId="0" applyNumberFormat="1" applyFont="1" applyFill="1" applyAlignment="1" applyProtection="1">
      <alignment/>
      <protection/>
    </xf>
    <xf numFmtId="164" fontId="0" fillId="8" borderId="0" xfId="0" applyNumberFormat="1" applyFill="1" applyAlignment="1" applyProtection="1">
      <alignment/>
      <protection/>
    </xf>
    <xf numFmtId="167" fontId="2" fillId="8" borderId="0" xfId="0" applyNumberFormat="1" applyFont="1" applyFill="1" applyAlignment="1" applyProtection="1">
      <alignment/>
      <protection/>
    </xf>
    <xf numFmtId="170" fontId="2" fillId="8" borderId="0" xfId="0" applyNumberFormat="1" applyFont="1" applyFill="1" applyAlignment="1" applyProtection="1">
      <alignment/>
      <protection/>
    </xf>
    <xf numFmtId="164" fontId="2" fillId="8" borderId="0" xfId="0" applyNumberFormat="1" applyFont="1" applyFill="1" applyAlignment="1" applyProtection="1">
      <alignment/>
      <protection/>
    </xf>
    <xf numFmtId="168" fontId="2" fillId="8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2" fontId="2" fillId="2" borderId="0" xfId="0" applyNumberFormat="1" applyFont="1" applyFill="1" applyAlignment="1" applyProtection="1">
      <alignment horizontal="right"/>
      <protection/>
    </xf>
    <xf numFmtId="167" fontId="0" fillId="0" borderId="0" xfId="0" applyNumberFormat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9" borderId="0" xfId="0" applyFill="1" applyAlignment="1" applyProtection="1">
      <alignment/>
      <protection/>
    </xf>
    <xf numFmtId="167" fontId="2" fillId="9" borderId="1" xfId="0" applyNumberFormat="1" applyFont="1" applyFill="1" applyBorder="1" applyAlignment="1" applyProtection="1">
      <alignment/>
      <protection/>
    </xf>
    <xf numFmtId="171" fontId="0" fillId="5" borderId="0" xfId="0" applyNumberFormat="1" applyFill="1" applyBorder="1" applyAlignment="1" applyProtection="1">
      <alignment horizontal="center"/>
      <protection locked="0"/>
    </xf>
    <xf numFmtId="171" fontId="2" fillId="5" borderId="0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64" fontId="0" fillId="3" borderId="0" xfId="0" applyNumberForma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/>
    </xf>
    <xf numFmtId="0" fontId="2" fillId="9" borderId="0" xfId="0" applyFont="1" applyFill="1" applyBorder="1" applyAlignment="1" applyProtection="1">
      <alignment/>
      <protection/>
    </xf>
    <xf numFmtId="165" fontId="0" fillId="3" borderId="0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/>
    </xf>
    <xf numFmtId="165" fontId="0" fillId="0" borderId="16" xfId="0" applyNumberFormat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13" xfId="0" applyNumberFormat="1" applyFill="1" applyBorder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4" fontId="0" fillId="10" borderId="1" xfId="0" applyNumberForma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Изменение толщины по радиусу</a:t>
            </a:r>
          </a:p>
        </c:rich>
      </c:tx>
      <c:layout>
        <c:manualLayout>
          <c:xMode val="factor"/>
          <c:yMode val="factor"/>
          <c:x val="0.012"/>
          <c:y val="0.05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3635"/>
          <c:w val="0.90225"/>
          <c:h val="0.26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Расчет!$O$23:$O$33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Расчет!$N$23:$N$33</c:f>
              <c:numCache>
                <c:ptCount val="11"/>
                <c:pt idx="0">
                  <c:v>27.924122255171046</c:v>
                </c:pt>
                <c:pt idx="1">
                  <c:v>26.857852999522965</c:v>
                </c:pt>
                <c:pt idx="2">
                  <c:v>24.713485707234803</c:v>
                </c:pt>
                <c:pt idx="3">
                  <c:v>22.25628003588443</c:v>
                </c:pt>
                <c:pt idx="4">
                  <c:v>19.61445869955911</c:v>
                </c:pt>
                <c:pt idx="5">
                  <c:v>16.847812090982014</c:v>
                </c:pt>
                <c:pt idx="6">
                  <c:v>14.482634819212592</c:v>
                </c:pt>
                <c:pt idx="7">
                  <c:v>13.506134475708661</c:v>
                </c:pt>
                <c:pt idx="8">
                  <c:v>12.174637636539703</c:v>
                </c:pt>
                <c:pt idx="9">
                  <c:v>9.850792710912154</c:v>
                </c:pt>
                <c:pt idx="10">
                  <c:v>7.906285921423286</c:v>
                </c:pt>
              </c:numCache>
            </c:numRef>
          </c:yVal>
          <c:smooth val="1"/>
        </c:ser>
        <c:axId val="44922006"/>
        <c:axId val="1644871"/>
      </c:scatterChart>
      <c:valAx>
        <c:axId val="449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Радиус, мм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1644871"/>
        <c:crosses val="autoZero"/>
        <c:crossBetween val="midCat"/>
        <c:dispUnits/>
        <c:majorUnit val="70"/>
        <c:minorUnit val="14"/>
      </c:val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25" b="1" i="0" u="none" baseline="0"/>
                  <a:t>Толщина профиля, мм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449220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R=0.7</a:t>
            </a:r>
          </a:p>
        </c:rich>
      </c:tx>
      <c:layout>
        <c:manualLayout>
          <c:xMode val="factor"/>
          <c:yMode val="factor"/>
          <c:x val="0.08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575"/>
          <c:h val="0.670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Расчет!$AG$193:$AG$208</c:f>
              <c:numCache>
                <c:ptCount val="16"/>
                <c:pt idx="0">
                  <c:v>-67.39955057640623</c:v>
                </c:pt>
                <c:pt idx="1">
                  <c:v>-67.20358199234259</c:v>
                </c:pt>
                <c:pt idx="2">
                  <c:v>-62.90609562307377</c:v>
                </c:pt>
                <c:pt idx="3">
                  <c:v>-58.86336841308767</c:v>
                </c:pt>
                <c:pt idx="4">
                  <c:v>-51.091463727617274</c:v>
                </c:pt>
                <c:pt idx="5">
                  <c:v>-36.017978958429225</c:v>
                </c:pt>
                <c:pt idx="6">
                  <c:v>-21.160059631711174</c:v>
                </c:pt>
                <c:pt idx="7">
                  <c:v>-6.419721455431302</c:v>
                </c:pt>
                <c:pt idx="8">
                  <c:v>8.261826145629474</c:v>
                </c:pt>
                <c:pt idx="9">
                  <c:v>22.8649863130648</c:v>
                </c:pt>
                <c:pt idx="10">
                  <c:v>37.3701621884683</c:v>
                </c:pt>
                <c:pt idx="11">
                  <c:v>51.777353771840005</c:v>
                </c:pt>
                <c:pt idx="12">
                  <c:v>66.12575477999259</c:v>
                </c:pt>
                <c:pt idx="13">
                  <c:v>80.33697777930064</c:v>
                </c:pt>
                <c:pt idx="14">
                  <c:v>80.1997997704561</c:v>
                </c:pt>
                <c:pt idx="15">
                  <c:v>-67.39955057640623</c:v>
                </c:pt>
              </c:numCache>
            </c:numRef>
          </c:xVal>
          <c:yVal>
            <c:numRef>
              <c:f>Расчет!$AH$193:$AH$208</c:f>
              <c:numCache>
                <c:ptCount val="16"/>
                <c:pt idx="0">
                  <c:v>3.702458825789247</c:v>
                </c:pt>
                <c:pt idx="1">
                  <c:v>4.987603297846802</c:v>
                </c:pt>
                <c:pt idx="2">
                  <c:v>8.40887442866539</c:v>
                </c:pt>
                <c:pt idx="3">
                  <c:v>10.159457745809156</c:v>
                </c:pt>
                <c:pt idx="4">
                  <c:v>11.604393224804596</c:v>
                </c:pt>
                <c:pt idx="5">
                  <c:v>11.409917449857346</c:v>
                </c:pt>
                <c:pt idx="6">
                  <c:v>9.801782755646787</c:v>
                </c:pt>
                <c:pt idx="7">
                  <c:v>7.422561378201692</c:v>
                </c:pt>
                <c:pt idx="8">
                  <c:v>4.657796659139332</c:v>
                </c:pt>
                <c:pt idx="9">
                  <c:v>1.3789741512539493</c:v>
                </c:pt>
                <c:pt idx="10">
                  <c:v>-2.542420592660212</c:v>
                </c:pt>
                <c:pt idx="11">
                  <c:v>-7.106387572603152</c:v>
                </c:pt>
                <c:pt idx="12">
                  <c:v>-12.055897894163358</c:v>
                </c:pt>
                <c:pt idx="13">
                  <c:v>-17.90500934616385</c:v>
                </c:pt>
                <c:pt idx="14">
                  <c:v>-18.80461047660414</c:v>
                </c:pt>
                <c:pt idx="15">
                  <c:v>3.702458825789247</c:v>
                </c:pt>
              </c:numCache>
            </c:numRef>
          </c:yVal>
          <c:smooth val="1"/>
        </c:ser>
        <c:axId val="3173200"/>
        <c:axId val="28558801"/>
      </c:scatterChart>
      <c:valAx>
        <c:axId val="3173200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28558801"/>
        <c:crossesAt val="0"/>
        <c:crossBetween val="midCat"/>
        <c:dispUnits/>
        <c:majorUnit val="10"/>
        <c:minorUnit val="10"/>
      </c:valAx>
      <c:valAx>
        <c:axId val="28558801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3173200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R=0.8</a:t>
            </a:r>
          </a:p>
        </c:rich>
      </c:tx>
      <c:layout>
        <c:manualLayout>
          <c:xMode val="factor"/>
          <c:yMode val="factor"/>
          <c:x val="0.0875"/>
          <c:y val="0.1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95"/>
          <c:h val="0.67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Расчет!$AG$215:$AG$230</c:f>
              <c:numCache>
                <c:ptCount val="16"/>
                <c:pt idx="0">
                  <c:v>-65.39058630244897</c:v>
                </c:pt>
                <c:pt idx="1">
                  <c:v>-65.25047459580132</c:v>
                </c:pt>
                <c:pt idx="2">
                  <c:v>-61.22223787357082</c:v>
                </c:pt>
                <c:pt idx="3">
                  <c:v>-57.376146369982244</c:v>
                </c:pt>
                <c:pt idx="4">
                  <c:v>-49.90814209344132</c:v>
                </c:pt>
                <c:pt idx="5">
                  <c:v>-35.30840163631382</c:v>
                </c:pt>
                <c:pt idx="6">
                  <c:v>-20.862784056498718</c:v>
                </c:pt>
                <c:pt idx="7">
                  <c:v>-6.501233500672203</c:v>
                </c:pt>
                <c:pt idx="8">
                  <c:v>7.818283543160028</c:v>
                </c:pt>
                <c:pt idx="9">
                  <c:v>22.08175590433319</c:v>
                </c:pt>
                <c:pt idx="10">
                  <c:v>36.27517241218254</c:v>
                </c:pt>
                <c:pt idx="11">
                  <c:v>50.39853306670806</c:v>
                </c:pt>
                <c:pt idx="12">
                  <c:v>64.47986020923929</c:v>
                </c:pt>
                <c:pt idx="13">
                  <c:v>78.4631091571172</c:v>
                </c:pt>
                <c:pt idx="14">
                  <c:v>78.36503096246385</c:v>
                </c:pt>
                <c:pt idx="15">
                  <c:v>-65.39058630244897</c:v>
                </c:pt>
              </c:numCache>
            </c:numRef>
          </c:xVal>
          <c:yVal>
            <c:numRef>
              <c:f>Расчет!$AH$215:$AH$230</c:f>
              <c:numCache>
                <c:ptCount val="16"/>
                <c:pt idx="0">
                  <c:v>2.852311634757571</c:v>
                </c:pt>
                <c:pt idx="1">
                  <c:v>3.94335183092831</c:v>
                </c:pt>
                <c:pt idx="2">
                  <c:v>6.864047960412531</c:v>
                </c:pt>
                <c:pt idx="3">
                  <c:v>8.366391834874792</c:v>
                </c:pt>
                <c:pt idx="4">
                  <c:v>9.62541526992613</c:v>
                </c:pt>
                <c:pt idx="5">
                  <c:v>9.524965669219032</c:v>
                </c:pt>
                <c:pt idx="6">
                  <c:v>8.224371852724119</c:v>
                </c:pt>
                <c:pt idx="7">
                  <c:v>6.269153918526765</c:v>
                </c:pt>
                <c:pt idx="8">
                  <c:v>3.9866239254781854</c:v>
                </c:pt>
                <c:pt idx="9">
                  <c:v>1.267677853961314</c:v>
                </c:pt>
                <c:pt idx="10">
                  <c:v>-1.9967883156409294</c:v>
                </c:pt>
                <c:pt idx="11">
                  <c:v>-5.806774583328542</c:v>
                </c:pt>
                <c:pt idx="12">
                  <c:v>-9.944072909867376</c:v>
                </c:pt>
                <c:pt idx="13">
                  <c:v>-14.84509937372573</c:v>
                </c:pt>
                <c:pt idx="14">
                  <c:v>-15.608827511045247</c:v>
                </c:pt>
                <c:pt idx="15">
                  <c:v>2.852311634757571</c:v>
                </c:pt>
              </c:numCache>
            </c:numRef>
          </c:yVal>
          <c:smooth val="1"/>
        </c:ser>
        <c:axId val="55702618"/>
        <c:axId val="31561515"/>
      </c:scatterChart>
      <c:valAx>
        <c:axId val="55702618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31561515"/>
        <c:crossesAt val="0"/>
        <c:crossBetween val="midCat"/>
        <c:dispUnits/>
        <c:majorUnit val="10"/>
        <c:minorUnit val="10"/>
      </c:valAx>
      <c:valAx>
        <c:axId val="31561515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55702618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R=0.9</a:t>
            </a:r>
          </a:p>
        </c:rich>
      </c:tx>
      <c:layout>
        <c:manualLayout>
          <c:xMode val="factor"/>
          <c:yMode val="factor"/>
          <c:x val="0.0857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75"/>
          <c:h val="0.67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Расчет!$AG$239:$AG$254</c:f>
              <c:numCache>
                <c:ptCount val="16"/>
                <c:pt idx="0">
                  <c:v>-63.43820582262153</c:v>
                </c:pt>
                <c:pt idx="1">
                  <c:v>-63.342634234563924</c:v>
                </c:pt>
                <c:pt idx="2">
                  <c:v>-59.548565207011244</c:v>
                </c:pt>
                <c:pt idx="3">
                  <c:v>-55.87873924393345</c:v>
                </c:pt>
                <c:pt idx="4">
                  <c:v>-48.69200185867006</c:v>
                </c:pt>
                <c:pt idx="5">
                  <c:v>-34.54789889948156</c:v>
                </c:pt>
                <c:pt idx="6">
                  <c:v>-20.508924687156423</c:v>
                </c:pt>
                <c:pt idx="7">
                  <c:v>-6.527293427665859</c:v>
                </c:pt>
                <c:pt idx="8">
                  <c:v>7.425666355407419</c:v>
                </c:pt>
                <c:pt idx="9">
                  <c:v>21.34039750325767</c:v>
                </c:pt>
                <c:pt idx="10">
                  <c:v>35.20734285707908</c:v>
                </c:pt>
                <c:pt idx="11">
                  <c:v>49.026502416871715</c:v>
                </c:pt>
                <c:pt idx="12">
                  <c:v>62.81699050024705</c:v>
                </c:pt>
                <c:pt idx="13">
                  <c:v>76.54057847198206</c:v>
                </c:pt>
                <c:pt idx="14">
                  <c:v>76.47367836034174</c:v>
                </c:pt>
                <c:pt idx="15">
                  <c:v>-63.43820582262153</c:v>
                </c:pt>
              </c:numCache>
            </c:numRef>
          </c:xVal>
          <c:yVal>
            <c:numRef>
              <c:f>Расчет!$AH$239:$AH$254</c:f>
              <c:numCache>
                <c:ptCount val="16"/>
                <c:pt idx="0">
                  <c:v>2.375974776899687</c:v>
                </c:pt>
                <c:pt idx="1">
                  <c:v>3.2608284775509</c:v>
                </c:pt>
                <c:pt idx="2">
                  <c:v>5.6260836562276735</c:v>
                </c:pt>
                <c:pt idx="3">
                  <c:v>6.841029024057871</c:v>
                </c:pt>
                <c:pt idx="4">
                  <c:v>7.8551538386763236</c:v>
                </c:pt>
                <c:pt idx="5">
                  <c:v>7.759754586350319</c:v>
                </c:pt>
                <c:pt idx="6">
                  <c:v>6.691016263307981</c:v>
                </c:pt>
                <c:pt idx="7">
                  <c:v>5.091365719874914</c:v>
                </c:pt>
                <c:pt idx="8">
                  <c:v>3.226259066246485</c:v>
                </c:pt>
                <c:pt idx="9">
                  <c:v>1.007210932357569</c:v>
                </c:pt>
                <c:pt idx="10">
                  <c:v>-1.6542640518569502</c:v>
                </c:pt>
                <c:pt idx="11">
                  <c:v>-4.758165886397078</c:v>
                </c:pt>
                <c:pt idx="12">
                  <c:v>-8.12752383113257</c:v>
                </c:pt>
                <c:pt idx="13">
                  <c:v>-12.11627936632391</c:v>
                </c:pt>
                <c:pt idx="14">
                  <c:v>-12.73567695677976</c:v>
                </c:pt>
                <c:pt idx="15">
                  <c:v>2.375974776899687</c:v>
                </c:pt>
              </c:numCache>
            </c:numRef>
          </c:yVal>
          <c:smooth val="1"/>
        </c:ser>
        <c:axId val="15618180"/>
        <c:axId val="6345893"/>
      </c:scatterChart>
      <c:valAx>
        <c:axId val="15618180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6345893"/>
        <c:crossesAt val="0"/>
        <c:crossBetween val="midCat"/>
        <c:dispUnits/>
        <c:majorUnit val="10"/>
        <c:minorUnit val="4"/>
      </c:valAx>
      <c:valAx>
        <c:axId val="6345893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15618180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R=1.0</a:t>
            </a:r>
          </a:p>
        </c:rich>
      </c:tx>
      <c:layout>
        <c:manualLayout>
          <c:xMode val="factor"/>
          <c:yMode val="factor"/>
          <c:x val="0.0857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75"/>
          <c:h val="0.670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Расчет!$AG$262:$AG$277</c:f>
              <c:numCache>
                <c:ptCount val="16"/>
                <c:pt idx="0">
                  <c:v>-61.41220333968754</c:v>
                </c:pt>
                <c:pt idx="1">
                  <c:v>-61.348221392651226</c:v>
                </c:pt>
                <c:pt idx="2">
                  <c:v>-57.755861045477225</c:v>
                </c:pt>
                <c:pt idx="3">
                  <c:v>-54.24667722945043</c:v>
                </c:pt>
                <c:pt idx="4">
                  <c:v>-47.33068071265492</c:v>
                </c:pt>
                <c:pt idx="5">
                  <c:v>-33.65224435195105</c:v>
                </c:pt>
                <c:pt idx="6">
                  <c:v>-20.04418813298711</c:v>
                </c:pt>
                <c:pt idx="7">
                  <c:v>-6.474521082244971</c:v>
                </c:pt>
                <c:pt idx="8">
                  <c:v>7.075951384386284</c:v>
                </c:pt>
                <c:pt idx="9">
                  <c:v>20.600831072203015</c:v>
                </c:pt>
                <c:pt idx="10">
                  <c:v>34.09371978650159</c:v>
                </c:pt>
                <c:pt idx="11">
                  <c:v>47.554617527282</c:v>
                </c:pt>
                <c:pt idx="12">
                  <c:v>60.996320683951524</c:v>
                </c:pt>
                <c:pt idx="13">
                  <c:v>74.39323647769564</c:v>
                </c:pt>
                <c:pt idx="14">
                  <c:v>74.34844911477022</c:v>
                </c:pt>
                <c:pt idx="15">
                  <c:v>-61.41220333968754</c:v>
                </c:pt>
              </c:numCache>
            </c:numRef>
          </c:xVal>
          <c:yVal>
            <c:numRef>
              <c:f>Расчет!$AH$262:$AH$277</c:f>
              <c:numCache>
                <c:ptCount val="16"/>
                <c:pt idx="0">
                  <c:v>1.9922923793644105</c:v>
                </c:pt>
                <c:pt idx="1">
                  <c:v>2.6994036227013005</c:v>
                </c:pt>
                <c:pt idx="2">
                  <c:v>4.584345777265169</c:v>
                </c:pt>
                <c:pt idx="3">
                  <c:v>5.550043315491078</c:v>
                </c:pt>
                <c:pt idx="4">
                  <c:v>6.350060402603874</c:v>
                </c:pt>
                <c:pt idx="5">
                  <c:v>6.25302759282093</c:v>
                </c:pt>
                <c:pt idx="6">
                  <c:v>5.378172415367405</c:v>
                </c:pt>
                <c:pt idx="7">
                  <c:v>4.079050491911747</c:v>
                </c:pt>
                <c:pt idx="8">
                  <c:v>2.5677951954550218</c:v>
                </c:pt>
                <c:pt idx="9">
                  <c:v>0.7736954016635396</c:v>
                </c:pt>
                <c:pt idx="10">
                  <c:v>-1.3739600137963874</c:v>
                </c:pt>
                <c:pt idx="11">
                  <c:v>-3.8751710509247577</c:v>
                </c:pt>
                <c:pt idx="12">
                  <c:v>-6.588515461054197</c:v>
                </c:pt>
                <c:pt idx="13">
                  <c:v>-9.79683774151946</c:v>
                </c:pt>
                <c:pt idx="14">
                  <c:v>-10.291815611855283</c:v>
                </c:pt>
                <c:pt idx="15">
                  <c:v>1.9922923793644105</c:v>
                </c:pt>
              </c:numCache>
            </c:numRef>
          </c:yVal>
          <c:smooth val="1"/>
        </c:ser>
        <c:axId val="57113038"/>
        <c:axId val="44255295"/>
      </c:scatterChart>
      <c:valAx>
        <c:axId val="57113038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crossAx val="44255295"/>
        <c:crossesAt val="0"/>
        <c:crossBetween val="midCat"/>
        <c:dispUnits/>
        <c:majorUnit val="10"/>
        <c:minorUnit val="4"/>
      </c:valAx>
      <c:valAx>
        <c:axId val="44255295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57113038"/>
        <c:crossesAt val="0"/>
        <c:crossBetween val="midCat"/>
        <c:dispUnits/>
        <c:majorUnit val="10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Зависимость угла от радиуса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55"/>
          <c:w val="0.95475"/>
          <c:h val="0.83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Расчет!$E$23:$E$33</c:f>
              <c:numCache>
                <c:ptCount val="11"/>
                <c:pt idx="0">
                  <c:v>100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489.99999999999994</c:v>
                </c:pt>
                <c:pt idx="7">
                  <c:v>525</c:v>
                </c:pt>
                <c:pt idx="8">
                  <c:v>560</c:v>
                </c:pt>
                <c:pt idx="9">
                  <c:v>630</c:v>
                </c:pt>
                <c:pt idx="10">
                  <c:v>700</c:v>
                </c:pt>
              </c:numCache>
            </c:numRef>
          </c:xVal>
          <c:yVal>
            <c:numRef>
              <c:f>Расчет!$F$23:$F$33</c:f>
              <c:numCache>
                <c:ptCount val="11"/>
                <c:pt idx="0">
                  <c:v>26</c:v>
                </c:pt>
                <c:pt idx="1">
                  <c:v>23.862698918526245</c:v>
                </c:pt>
                <c:pt idx="2">
                  <c:v>18.692447486178892</c:v>
                </c:pt>
                <c:pt idx="3">
                  <c:v>15.510754297042059</c:v>
                </c:pt>
                <c:pt idx="4">
                  <c:v>12.726772756547332</c:v>
                </c:pt>
                <c:pt idx="5">
                  <c:v>10.340502864694706</c:v>
                </c:pt>
                <c:pt idx="6">
                  <c:v>8.67011394039787</c:v>
                </c:pt>
                <c:pt idx="7">
                  <c:v>7.954232972842082</c:v>
                </c:pt>
                <c:pt idx="8">
                  <c:v>7.317894335014715</c:v>
                </c:pt>
                <c:pt idx="9">
                  <c:v>6.164530553952614</c:v>
                </c:pt>
                <c:pt idx="10">
                  <c:v>5.170251432347353</c:v>
                </c:pt>
              </c:numCache>
            </c:numRef>
          </c:yVal>
          <c:smooth val="1"/>
        </c:ser>
        <c:axId val="14803840"/>
        <c:axId val="66125697"/>
      </c:scatterChart>
      <c:valAx>
        <c:axId val="14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Радиус, мм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25697"/>
        <c:crosses val="autoZero"/>
        <c:crossBetween val="midCat"/>
        <c:dispUnits/>
        <c:majorUnit val="70"/>
      </c:val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Угол, град.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3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Передняя кромка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Расчет!$U$21:$U$32</c:f>
              <c:numCache>
                <c:ptCount val="12"/>
                <c:pt idx="2">
                  <c:v>100</c:v>
                </c:pt>
                <c:pt idx="3">
                  <c:v>140</c:v>
                </c:pt>
                <c:pt idx="4">
                  <c:v>210</c:v>
                </c:pt>
                <c:pt idx="5">
                  <c:v>280</c:v>
                </c:pt>
                <c:pt idx="6">
                  <c:v>350</c:v>
                </c:pt>
                <c:pt idx="7">
                  <c:v>420</c:v>
                </c:pt>
                <c:pt idx="8">
                  <c:v>489.99999999999994</c:v>
                </c:pt>
                <c:pt idx="9">
                  <c:v>560</c:v>
                </c:pt>
                <c:pt idx="10">
                  <c:v>630</c:v>
                </c:pt>
                <c:pt idx="11">
                  <c:v>700</c:v>
                </c:pt>
              </c:numCache>
            </c:numRef>
          </c:xVal>
          <c:yVal>
            <c:numRef>
              <c:f>Расчет!$V$21:$V$32</c:f>
              <c:numCache>
                <c:ptCount val="12"/>
                <c:pt idx="2">
                  <c:v>58.775694076344735</c:v>
                </c:pt>
                <c:pt idx="3">
                  <c:v>61.28730945773471</c:v>
                </c:pt>
                <c:pt idx="4">
                  <c:v>65.16245240817109</c:v>
                </c:pt>
                <c:pt idx="5">
                  <c:v>67.8807525310219</c:v>
                </c:pt>
                <c:pt idx="6">
                  <c:v>69.47637404724834</c:v>
                </c:pt>
                <c:pt idx="7">
                  <c:v>69.16763284435083</c:v>
                </c:pt>
                <c:pt idx="8">
                  <c:v>67.39955057640623</c:v>
                </c:pt>
                <c:pt idx="9">
                  <c:v>65.39058630244897</c:v>
                </c:pt>
                <c:pt idx="10">
                  <c:v>63.43820582262153</c:v>
                </c:pt>
                <c:pt idx="11">
                  <c:v>61.41220333968754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txPr>
              <a:bodyPr vert="horz" rot="-540000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Расчет!$U$21:$U$32</c:f>
              <c:numCache>
                <c:ptCount val="12"/>
                <c:pt idx="2">
                  <c:v>100</c:v>
                </c:pt>
                <c:pt idx="3">
                  <c:v>140</c:v>
                </c:pt>
                <c:pt idx="4">
                  <c:v>210</c:v>
                </c:pt>
                <c:pt idx="5">
                  <c:v>280</c:v>
                </c:pt>
                <c:pt idx="6">
                  <c:v>350</c:v>
                </c:pt>
                <c:pt idx="7">
                  <c:v>420</c:v>
                </c:pt>
                <c:pt idx="8">
                  <c:v>489.99999999999994</c:v>
                </c:pt>
                <c:pt idx="9">
                  <c:v>560</c:v>
                </c:pt>
                <c:pt idx="10">
                  <c:v>630</c:v>
                </c:pt>
                <c:pt idx="11">
                  <c:v>700</c:v>
                </c:pt>
              </c:numCache>
            </c:numRef>
          </c:xVal>
          <c:yVal>
            <c:numRef>
              <c:f>Расчет!$X$21:$X$32</c:f>
              <c:numCache>
                <c:ptCount val="12"/>
                <c:pt idx="2">
                  <c:v>-60.38150234617446</c:v>
                </c:pt>
                <c:pt idx="3">
                  <c:v>-64.71422067090145</c:v>
                </c:pt>
                <c:pt idx="4">
                  <c:v>-72.2356681104176</c:v>
                </c:pt>
                <c:pt idx="5">
                  <c:v>-77.39710590152735</c:v>
                </c:pt>
                <c:pt idx="6">
                  <c:v>-80.85591944895994</c:v>
                </c:pt>
                <c:pt idx="7">
                  <c:v>-81.69768934709766</c:v>
                </c:pt>
                <c:pt idx="8">
                  <c:v>-80.33697777930064</c:v>
                </c:pt>
                <c:pt idx="9">
                  <c:v>-78.4631091571172</c:v>
                </c:pt>
                <c:pt idx="10">
                  <c:v>-76.54057847198206</c:v>
                </c:pt>
                <c:pt idx="11">
                  <c:v>-74.39323647769564</c:v>
                </c:pt>
              </c:numCache>
            </c:numRef>
          </c:yVal>
          <c:smooth val="0"/>
        </c:ser>
        <c:axId val="58260362"/>
        <c:axId val="54581211"/>
      </c:scatterChart>
      <c:valAx>
        <c:axId val="58260362"/>
        <c:scaling>
          <c:orientation val="minMax"/>
          <c:max val="700"/>
          <c:min val="1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54581211"/>
        <c:crossesAt val="0"/>
        <c:crossBetween val="midCat"/>
        <c:dispUnits/>
        <c:majorUnit val="70"/>
        <c:minorUnit val="20"/>
      </c:valAx>
      <c:valAx>
        <c:axId val="54581211"/>
        <c:scaling>
          <c:orientation val="minMax"/>
          <c:max val="70"/>
          <c:min val="-90"/>
        </c:scaling>
        <c:axPos val="l"/>
        <c:majorGridlines/>
        <c:delete val="0"/>
        <c:numFmt formatCode="0" sourceLinked="0"/>
        <c:majorTickMark val="out"/>
        <c:minorTickMark val="none"/>
        <c:tickLblPos val="none"/>
        <c:spPr>
          <a:ln w="25400">
            <a:solidFill/>
          </a:ln>
        </c:spPr>
        <c:crossAx val="58260362"/>
        <c:crossesAt val="0"/>
        <c:crossBetween val="midCat"/>
        <c:dispUnits/>
        <c:majorUnit val="10"/>
        <c:minorUnit val="4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R=100</a:t>
            </a:r>
          </a:p>
        </c:rich>
      </c:tx>
      <c:layout>
        <c:manualLayout>
          <c:xMode val="factor"/>
          <c:yMode val="factor"/>
          <c:x val="0.08425"/>
          <c:y val="0.24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125"/>
          <c:h val="0.673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Расчет!$AG$48:$AG$64</c:f>
              <c:numCache>
                <c:ptCount val="17"/>
                <c:pt idx="0">
                  <c:v>-58.775694076344735</c:v>
                </c:pt>
                <c:pt idx="1">
                  <c:v>-57.67538336423991</c:v>
                </c:pt>
                <c:pt idx="2">
                  <c:v>-51.304745683613824</c:v>
                </c:pt>
                <c:pt idx="3">
                  <c:v>-46.364511928723985</c:v>
                </c:pt>
                <c:pt idx="4">
                  <c:v>-38.24454155831205</c:v>
                </c:pt>
                <c:pt idx="5">
                  <c:v>-24.645346526539754</c:v>
                </c:pt>
                <c:pt idx="6">
                  <c:v>-12.256493278082758</c:v>
                </c:pt>
                <c:pt idx="7">
                  <c:v>-0.5278264568886586</c:v>
                </c:pt>
                <c:pt idx="8">
                  <c:v>10.870747150674001</c:v>
                </c:pt>
                <c:pt idx="9">
                  <c:v>21.829196473394717</c:v>
                </c:pt>
                <c:pt idx="10">
                  <c:v>32.237490440063034</c:v>
                </c:pt>
                <c:pt idx="11">
                  <c:v>42.09562905067893</c:v>
                </c:pt>
                <c:pt idx="12">
                  <c:v>51.62367444766338</c:v>
                </c:pt>
                <c:pt idx="13">
                  <c:v>60.38150234617446</c:v>
                </c:pt>
                <c:pt idx="14">
                  <c:v>59.611284847701086</c:v>
                </c:pt>
                <c:pt idx="15">
                  <c:v>0</c:v>
                </c:pt>
                <c:pt idx="16">
                  <c:v>-58.775694076344735</c:v>
                </c:pt>
              </c:numCache>
            </c:numRef>
          </c:xVal>
          <c:yVal>
            <c:numRef>
              <c:f>Расчет!$AH$48:$AH$64</c:f>
              <c:numCache>
                <c:ptCount val="17"/>
                <c:pt idx="0">
                  <c:v>16.70364173871613</c:v>
                </c:pt>
                <c:pt idx="1">
                  <c:v>18.95961521746701</c:v>
                </c:pt>
                <c:pt idx="2">
                  <c:v>24.50960471645751</c:v>
                </c:pt>
                <c:pt idx="3">
                  <c:v>27.12682869307185</c:v>
                </c:pt>
                <c:pt idx="4">
                  <c:v>28.751719080299118</c:v>
                </c:pt>
                <c:pt idx="5">
                  <c:v>26.58716350575152</c:v>
                </c:pt>
                <c:pt idx="6">
                  <c:v>21.94103710457795</c:v>
                </c:pt>
                <c:pt idx="7">
                  <c:v>15.94132661615385</c:v>
                </c:pt>
                <c:pt idx="8">
                  <c:v>9.264824084104479</c:v>
                </c:pt>
                <c:pt idx="9">
                  <c:v>1.6859321605547635</c:v>
                </c:pt>
                <c:pt idx="10">
                  <c:v>-7.020946502370407</c:v>
                </c:pt>
                <c:pt idx="11">
                  <c:v>-16.85581190467101</c:v>
                </c:pt>
                <c:pt idx="12">
                  <c:v>-27.36746935059689</c:v>
                </c:pt>
                <c:pt idx="13">
                  <c:v>-39.45830823164839</c:v>
                </c:pt>
                <c:pt idx="14">
                  <c:v>-41.03748966677401</c:v>
                </c:pt>
                <c:pt idx="15">
                  <c:v>-15.94132661615385</c:v>
                </c:pt>
                <c:pt idx="16">
                  <c:v>16.70364173871613</c:v>
                </c:pt>
              </c:numCache>
            </c:numRef>
          </c:yVal>
          <c:smooth val="1"/>
        </c:ser>
        <c:axId val="21468852"/>
        <c:axId val="59001941"/>
      </c:scatterChart>
      <c:valAx>
        <c:axId val="21468852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59001941"/>
        <c:crossesAt val="0"/>
        <c:crossBetween val="midCat"/>
        <c:dispUnits/>
        <c:majorUnit val="10"/>
        <c:minorUnit val="4"/>
      </c:valAx>
      <c:valAx>
        <c:axId val="59001941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21468852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R=0.2</a:t>
            </a:r>
          </a:p>
        </c:rich>
      </c:tx>
      <c:layout>
        <c:manualLayout>
          <c:xMode val="factor"/>
          <c:yMode val="factor"/>
          <c:x val="0.0865"/>
          <c:y val="0.1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85"/>
          <c:h val="0.673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Расчет!$AG$74:$AG$89</c:f>
              <c:numCache>
                <c:ptCount val="16"/>
                <c:pt idx="0">
                  <c:v>-61.28730945773471</c:v>
                </c:pt>
                <c:pt idx="1">
                  <c:v>-60.30830819842875</c:v>
                </c:pt>
                <c:pt idx="2">
                  <c:v>-54.14049856340221</c:v>
                </c:pt>
                <c:pt idx="3">
                  <c:v>-49.24539056547342</c:v>
                </c:pt>
                <c:pt idx="4">
                  <c:v>-41.021576584505404</c:v>
                </c:pt>
                <c:pt idx="5">
                  <c:v>-26.92355164490366</c:v>
                </c:pt>
                <c:pt idx="6">
                  <c:v>-13.902428090538486</c:v>
                </c:pt>
                <c:pt idx="7">
                  <c:v>-1.4687052917568773</c:v>
                </c:pt>
                <c:pt idx="8">
                  <c:v>10.671317129232936</c:v>
                </c:pt>
                <c:pt idx="9">
                  <c:v>22.419739046500357</c:v>
                </c:pt>
                <c:pt idx="10">
                  <c:v>33.67866033411481</c:v>
                </c:pt>
                <c:pt idx="11">
                  <c:v>44.44808099207628</c:v>
                </c:pt>
                <c:pt idx="12">
                  <c:v>54.92380127224596</c:v>
                </c:pt>
                <c:pt idx="13">
                  <c:v>64.71422067090145</c:v>
                </c:pt>
                <c:pt idx="14">
                  <c:v>64.02891978938729</c:v>
                </c:pt>
                <c:pt idx="15">
                  <c:v>-61.28730945773471</c:v>
                </c:pt>
              </c:numCache>
            </c:numRef>
          </c:xVal>
          <c:yVal>
            <c:numRef>
              <c:f>Расчет!$AH$74:$AH$89</c:f>
              <c:numCache>
                <c:ptCount val="16"/>
                <c:pt idx="0">
                  <c:v>13.880031935664666</c:v>
                </c:pt>
                <c:pt idx="1">
                  <c:v>16.093164677792288</c:v>
                </c:pt>
                <c:pt idx="2">
                  <c:v>21.568004198037773</c:v>
                </c:pt>
                <c:pt idx="3">
                  <c:v>24.16577115351734</c:v>
                </c:pt>
                <c:pt idx="4">
                  <c:v>25.82029267707228</c:v>
                </c:pt>
                <c:pt idx="5">
                  <c:v>23.817817143075857</c:v>
                </c:pt>
                <c:pt idx="6">
                  <c:v>19.38089559273905</c:v>
                </c:pt>
                <c:pt idx="7">
                  <c:v>13.616094397125668</c:v>
                </c:pt>
                <c:pt idx="8">
                  <c:v>7.187353378873997</c:v>
                </c:pt>
                <c:pt idx="9">
                  <c:v>-0.1266407362287154</c:v>
                </c:pt>
                <c:pt idx="10">
                  <c:v>-8.54720122239525</c:v>
                </c:pt>
                <c:pt idx="11">
                  <c:v>-18.074328079625598</c:v>
                </c:pt>
                <c:pt idx="12">
                  <c:v>-28.26539475949423</c:v>
                </c:pt>
                <c:pt idx="13">
                  <c:v>-40.0056543588522</c:v>
                </c:pt>
                <c:pt idx="14">
                  <c:v>-41.55484727834153</c:v>
                </c:pt>
                <c:pt idx="15">
                  <c:v>13.880031935664666</c:v>
                </c:pt>
              </c:numCache>
            </c:numRef>
          </c:yVal>
          <c:smooth val="1"/>
        </c:ser>
        <c:axId val="61255422"/>
        <c:axId val="14427887"/>
      </c:scatterChart>
      <c:valAx>
        <c:axId val="61255422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14427887"/>
        <c:crossesAt val="0"/>
        <c:crossBetween val="midCat"/>
        <c:dispUnits/>
        <c:majorUnit val="10"/>
        <c:minorUnit val="4"/>
      </c:valAx>
      <c:valAx>
        <c:axId val="14427887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61255422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R=0.3</a:t>
            </a:r>
          </a:p>
        </c:rich>
      </c:tx>
      <c:layout>
        <c:manualLayout>
          <c:xMode val="factor"/>
          <c:yMode val="factor"/>
          <c:x val="0.0857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75"/>
          <c:h val="0.672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Расчет!$AG$102:$AG$117</c:f>
              <c:numCache>
                <c:ptCount val="16"/>
                <c:pt idx="0">
                  <c:v>-65.16245240817109</c:v>
                </c:pt>
                <c:pt idx="1">
                  <c:v>-64.45096933990936</c:v>
                </c:pt>
                <c:pt idx="2">
                  <c:v>-58.82286976902789</c:v>
                </c:pt>
                <c:pt idx="3">
                  <c:v>-54.119698186886644</c:v>
                </c:pt>
                <c:pt idx="4">
                  <c:v>-45.85172793182292</c:v>
                </c:pt>
                <c:pt idx="5">
                  <c:v>-31.023346785523614</c:v>
                </c:pt>
                <c:pt idx="6">
                  <c:v>-16.977597014312202</c:v>
                </c:pt>
                <c:pt idx="7">
                  <c:v>-3.358737084057821</c:v>
                </c:pt>
                <c:pt idx="8">
                  <c:v>10.046677925718038</c:v>
                </c:pt>
                <c:pt idx="9">
                  <c:v>23.167499708189204</c:v>
                </c:pt>
                <c:pt idx="10">
                  <c:v>35.932579956529516</c:v>
                </c:pt>
                <c:pt idx="11">
                  <c:v>48.34191867073897</c:v>
                </c:pt>
                <c:pt idx="12">
                  <c:v>60.53781246446989</c:v>
                </c:pt>
                <c:pt idx="13">
                  <c:v>72.2356681104176</c:v>
                </c:pt>
                <c:pt idx="14">
                  <c:v>71.7376299626344</c:v>
                </c:pt>
                <c:pt idx="15">
                  <c:v>-65.16245240817109</c:v>
                </c:pt>
              </c:numCache>
            </c:numRef>
          </c:xVal>
          <c:yVal>
            <c:numRef>
              <c:f>Расчет!$AH$102:$AH$117</c:f>
              <c:numCache>
                <c:ptCount val="16"/>
                <c:pt idx="0">
                  <c:v>10.328581075023127</c:v>
                </c:pt>
                <c:pt idx="1">
                  <c:v>12.431481891413878</c:v>
                </c:pt>
                <c:pt idx="2">
                  <c:v>17.7925252468376</c:v>
                </c:pt>
                <c:pt idx="3">
                  <c:v>20.41979754095334</c:v>
                </c:pt>
                <c:pt idx="4">
                  <c:v>22.309700822959634</c:v>
                </c:pt>
                <c:pt idx="5">
                  <c:v>21.042545427634415</c:v>
                </c:pt>
                <c:pt idx="6">
                  <c:v>17.462199134279373</c:v>
                </c:pt>
                <c:pt idx="7">
                  <c:v>12.62011235108988</c:v>
                </c:pt>
                <c:pt idx="8">
                  <c:v>7.147155322983164</c:v>
                </c:pt>
                <c:pt idx="9">
                  <c:v>0.8330379683201503</c:v>
                </c:pt>
                <c:pt idx="10">
                  <c:v>-6.532529794538243</c:v>
                </c:pt>
                <c:pt idx="11">
                  <c:v>-14.949547965592012</c:v>
                </c:pt>
                <c:pt idx="12">
                  <c:v>-23.997436381563002</c:v>
                </c:pt>
                <c:pt idx="13">
                  <c:v>-34.51735536900752</c:v>
                </c:pt>
                <c:pt idx="14">
                  <c:v>-35.98938594048104</c:v>
                </c:pt>
                <c:pt idx="15">
                  <c:v>10.328581075023127</c:v>
                </c:pt>
              </c:numCache>
            </c:numRef>
          </c:yVal>
          <c:smooth val="1"/>
        </c:ser>
        <c:axId val="62742120"/>
        <c:axId val="27808169"/>
      </c:scatterChart>
      <c:valAx>
        <c:axId val="62742120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27808169"/>
        <c:crossesAt val="0"/>
        <c:crossBetween val="midCat"/>
        <c:dispUnits/>
        <c:majorUnit val="10"/>
        <c:minorUnit val="2"/>
      </c:valAx>
      <c:valAx>
        <c:axId val="27808169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62742120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R=0.4</a:t>
            </a:r>
          </a:p>
        </c:rich>
      </c:tx>
      <c:layout>
        <c:manualLayout>
          <c:xMode val="factor"/>
          <c:yMode val="factor"/>
          <c:x val="0.08575"/>
          <c:y val="0.1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75"/>
          <c:h val="0.67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Расчет!$AG$125:$AG$140</c:f>
              <c:numCache>
                <c:ptCount val="16"/>
                <c:pt idx="0">
                  <c:v>-67.8807525310219</c:v>
                </c:pt>
                <c:pt idx="1">
                  <c:v>-67.3459144869718</c:v>
                </c:pt>
                <c:pt idx="2">
                  <c:v>-62.06532975537362</c:v>
                </c:pt>
                <c:pt idx="3">
                  <c:v>-57.48003448104058</c:v>
                </c:pt>
                <c:pt idx="4">
                  <c:v>-49.16518480285468</c:v>
                </c:pt>
                <c:pt idx="5">
                  <c:v>-33.8190967522031</c:v>
                </c:pt>
                <c:pt idx="6">
                  <c:v>-19.06133055000663</c:v>
                </c:pt>
                <c:pt idx="7">
                  <c:v>-4.624467174240223</c:v>
                </c:pt>
                <c:pt idx="8">
                  <c:v>9.651944788311154</c:v>
                </c:pt>
                <c:pt idx="9">
                  <c:v>23.714421533242493</c:v>
                </c:pt>
                <c:pt idx="10">
                  <c:v>37.50947925614879</c:v>
                </c:pt>
                <c:pt idx="11">
                  <c:v>51.03711795703001</c:v>
                </c:pt>
                <c:pt idx="12">
                  <c:v>64.40430524469623</c:v>
                </c:pt>
                <c:pt idx="13">
                  <c:v>77.39710590152735</c:v>
                </c:pt>
                <c:pt idx="14">
                  <c:v>77.02271927069228</c:v>
                </c:pt>
                <c:pt idx="15">
                  <c:v>-67.8807525310219</c:v>
                </c:pt>
              </c:numCache>
            </c:numRef>
          </c:xVal>
          <c:yVal>
            <c:numRef>
              <c:f>Расчет!$AH$125:$AH$140</c:f>
              <c:numCache>
                <c:ptCount val="16"/>
                <c:pt idx="0">
                  <c:v>8.460741818386849</c:v>
                </c:pt>
                <c:pt idx="1">
                  <c:v>10.38790249322345</c:v>
                </c:pt>
                <c:pt idx="2">
                  <c:v>15.356736963407474</c:v>
                </c:pt>
                <c:pt idx="3">
                  <c:v>17.820262556303923</c:v>
                </c:pt>
                <c:pt idx="4">
                  <c:v>19.663856662358253</c:v>
                </c:pt>
                <c:pt idx="5">
                  <c:v>18.725859254859067</c:v>
                </c:pt>
                <c:pt idx="6">
                  <c:v>15.667985105039623</c:v>
                </c:pt>
                <c:pt idx="7">
                  <c:v>11.453814550318219</c:v>
                </c:pt>
                <c:pt idx="8">
                  <c:v>6.661495793145834</c:v>
                </c:pt>
                <c:pt idx="9">
                  <c:v>1.0983127660388066</c:v>
                </c:pt>
                <c:pt idx="10">
                  <c:v>-5.428450598486521</c:v>
                </c:pt>
                <c:pt idx="11">
                  <c:v>-12.918794300430145</c:v>
                </c:pt>
                <c:pt idx="12">
                  <c:v>-20.987286204824755</c:v>
                </c:pt>
                <c:pt idx="13">
                  <c:v>-30.404790581604978</c:v>
                </c:pt>
                <c:pt idx="14">
                  <c:v>-31.753803053990595</c:v>
                </c:pt>
                <c:pt idx="15">
                  <c:v>8.460741818386849</c:v>
                </c:pt>
              </c:numCache>
            </c:numRef>
          </c:yVal>
          <c:smooth val="1"/>
        </c:ser>
        <c:axId val="48946930"/>
        <c:axId val="37869187"/>
      </c:scatterChart>
      <c:valAx>
        <c:axId val="48946930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37869187"/>
        <c:crossesAt val="0"/>
        <c:crossBetween val="midCat"/>
        <c:dispUnits/>
        <c:majorUnit val="10"/>
        <c:minorUnit val="10"/>
      </c:valAx>
      <c:valAx>
        <c:axId val="37869187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48946930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R=0.5</a:t>
            </a:r>
          </a:p>
        </c:rich>
      </c:tx>
      <c:layout>
        <c:manualLayout>
          <c:xMode val="factor"/>
          <c:yMode val="factor"/>
          <c:x val="0.08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575"/>
          <c:h val="0.670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Расчет!$AG$148:$AG$163</c:f>
              <c:numCache>
                <c:ptCount val="16"/>
                <c:pt idx="0">
                  <c:v>-69.47637404724834</c:v>
                </c:pt>
                <c:pt idx="1">
                  <c:v>-69.08643979453657</c:v>
                </c:pt>
                <c:pt idx="2">
                  <c:v>-64.12616012314736</c:v>
                </c:pt>
                <c:pt idx="3">
                  <c:v>-59.67279498028343</c:v>
                </c:pt>
                <c:pt idx="4">
                  <c:v>-51.38995949889439</c:v>
                </c:pt>
                <c:pt idx="5">
                  <c:v>-35.76013074262456</c:v>
                </c:pt>
                <c:pt idx="6">
                  <c:v>-20.55922966433767</c:v>
                </c:pt>
                <c:pt idx="7">
                  <c:v>-5.5922891376778505</c:v>
                </c:pt>
                <c:pt idx="8">
                  <c:v>9.257671113168454</c:v>
                </c:pt>
                <c:pt idx="9">
                  <c:v>23.95165766293005</c:v>
                </c:pt>
                <c:pt idx="10">
                  <c:v>38.450677086335766</c:v>
                </c:pt>
                <c:pt idx="11">
                  <c:v>52.754729383385566</c:v>
                </c:pt>
                <c:pt idx="12">
                  <c:v>66.94180140462187</c:v>
                </c:pt>
                <c:pt idx="13">
                  <c:v>80.85591944895994</c:v>
                </c:pt>
                <c:pt idx="14">
                  <c:v>80.5829654720617</c:v>
                </c:pt>
                <c:pt idx="15">
                  <c:v>-69.47637404724834</c:v>
                </c:pt>
              </c:numCache>
            </c:numRef>
          </c:xVal>
          <c:yVal>
            <c:numRef>
              <c:f>Расчет!$AH$148:$AH$163</c:f>
              <c:numCache>
                <c:ptCount val="16"/>
                <c:pt idx="0">
                  <c:v>6.618374759595248</c:v>
                </c:pt>
                <c:pt idx="1">
                  <c:v>8.344888958367477</c:v>
                </c:pt>
                <c:pt idx="2">
                  <c:v>12.84980821048048</c:v>
                </c:pt>
                <c:pt idx="3">
                  <c:v>15.110259004189585</c:v>
                </c:pt>
                <c:pt idx="4">
                  <c:v>16.868737873572222</c:v>
                </c:pt>
                <c:pt idx="5">
                  <c:v>16.24206153528415</c:v>
                </c:pt>
                <c:pt idx="6">
                  <c:v>13.716219578346617</c:v>
                </c:pt>
                <c:pt idx="7">
                  <c:v>10.15446910214575</c:v>
                </c:pt>
                <c:pt idx="8">
                  <c:v>6.074764366313215</c:v>
                </c:pt>
                <c:pt idx="9">
                  <c:v>1.3044539509717836</c:v>
                </c:pt>
                <c:pt idx="10">
                  <c:v>-4.3291135637557625</c:v>
                </c:pt>
                <c:pt idx="11">
                  <c:v>-10.825938177869416</c:v>
                </c:pt>
                <c:pt idx="12">
                  <c:v>-17.840717051614746</c:v>
                </c:pt>
                <c:pt idx="13">
                  <c:v>-26.064055864500634</c:v>
                </c:pt>
                <c:pt idx="14">
                  <c:v>-27.272615803641195</c:v>
                </c:pt>
                <c:pt idx="15">
                  <c:v>6.618374759595248</c:v>
                </c:pt>
              </c:numCache>
            </c:numRef>
          </c:yVal>
          <c:smooth val="1"/>
        </c:ser>
        <c:axId val="5278364"/>
        <c:axId val="47505277"/>
      </c:scatterChart>
      <c:valAx>
        <c:axId val="5278364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47505277"/>
        <c:crossesAt val="0"/>
        <c:crossBetween val="midCat"/>
        <c:dispUnits/>
        <c:majorUnit val="10"/>
        <c:minorUnit val="10"/>
      </c:valAx>
      <c:valAx>
        <c:axId val="47505277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5278364"/>
        <c:crossesAt val="0"/>
        <c:crossBetween val="midCat"/>
        <c:dispUnits/>
        <c:majorUnit val="10"/>
        <c:min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R=0.6</a:t>
            </a:r>
          </a:p>
        </c:rich>
      </c:tx>
      <c:layout>
        <c:manualLayout>
          <c:xMode val="factor"/>
          <c:yMode val="factor"/>
          <c:x val="0.0857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0675"/>
          <c:h val="0.67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Расчет!$AG$171:$AG$186</c:f>
              <c:numCache>
                <c:ptCount val="16"/>
                <c:pt idx="0">
                  <c:v>-69.16763284435083</c:v>
                </c:pt>
                <c:pt idx="1">
                  <c:v>-68.89479658859864</c:v>
                </c:pt>
                <c:pt idx="2">
                  <c:v>-64.2821457754563</c:v>
                </c:pt>
                <c:pt idx="3">
                  <c:v>-60.02418209479181</c:v>
                </c:pt>
                <c:pt idx="4">
                  <c:v>-51.94479274266634</c:v>
                </c:pt>
                <c:pt idx="5">
                  <c:v>-36.44082105222064</c:v>
                </c:pt>
                <c:pt idx="6">
                  <c:v>-21.236969243102347</c:v>
                </c:pt>
                <c:pt idx="7">
                  <c:v>-6.1968191874353735</c:v>
                </c:pt>
                <c:pt idx="8">
                  <c:v>8.761479991505949</c:v>
                </c:pt>
                <c:pt idx="9">
                  <c:v>23.610644668146392</c:v>
                </c:pt>
                <c:pt idx="10">
                  <c:v>38.32339121691075</c:v>
                </c:pt>
                <c:pt idx="11">
                  <c:v>52.89971963779899</c:v>
                </c:pt>
                <c:pt idx="12">
                  <c:v>67.3941971819616</c:v>
                </c:pt>
                <c:pt idx="13">
                  <c:v>81.69768934709766</c:v>
                </c:pt>
                <c:pt idx="14">
                  <c:v>81.50670396807112</c:v>
                </c:pt>
                <c:pt idx="15">
                  <c:v>-69.16763284435083</c:v>
                </c:pt>
              </c:numCache>
            </c:numRef>
          </c:xVal>
          <c:yVal>
            <c:numRef>
              <c:f>Расчет!$AH$171:$AH$186</c:f>
              <c:numCache>
                <c:ptCount val="16"/>
                <c:pt idx="0">
                  <c:v>4.894920950242961</c:v>
                </c:pt>
                <c:pt idx="1">
                  <c:v>6.390233752818771</c:v>
                </c:pt>
                <c:pt idx="2">
                  <c:v>10.33839872063034</c:v>
                </c:pt>
                <c:pt idx="3">
                  <c:v>12.342657045093354</c:v>
                </c:pt>
                <c:pt idx="4">
                  <c:v>13.958673209898086</c:v>
                </c:pt>
                <c:pt idx="5">
                  <c:v>13.601954813325602</c:v>
                </c:pt>
                <c:pt idx="6">
                  <c:v>11.600392333919725</c:v>
                </c:pt>
                <c:pt idx="7">
                  <c:v>8.701642172968365</c:v>
                </c:pt>
                <c:pt idx="8">
                  <c:v>5.354298171244259</c:v>
                </c:pt>
                <c:pt idx="9">
                  <c:v>1.408829048489828</c:v>
                </c:pt>
                <c:pt idx="10">
                  <c:v>-3.284296475552508</c:v>
                </c:pt>
                <c:pt idx="11">
                  <c:v>-8.725078400882746</c:v>
                </c:pt>
                <c:pt idx="12">
                  <c:v>-14.61445416698573</c:v>
                </c:pt>
                <c:pt idx="13">
                  <c:v>-21.550548894891783</c:v>
                </c:pt>
                <c:pt idx="14">
                  <c:v>-22.59726785669485</c:v>
                </c:pt>
                <c:pt idx="15">
                  <c:v>4.894920950242961</c:v>
                </c:pt>
              </c:numCache>
            </c:numRef>
          </c:yVal>
          <c:smooth val="1"/>
        </c:ser>
        <c:axId val="24894310"/>
        <c:axId val="22722199"/>
      </c:scatterChart>
      <c:valAx>
        <c:axId val="24894310"/>
        <c:scaling>
          <c:orientation val="minMax"/>
          <c:max val="110"/>
          <c:min val="-90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22722199"/>
        <c:crossesAt val="0"/>
        <c:crossBetween val="midCat"/>
        <c:dispUnits/>
        <c:majorUnit val="10"/>
        <c:minorUnit val="10"/>
      </c:valAx>
      <c:valAx>
        <c:axId val="22722199"/>
        <c:scaling>
          <c:orientation val="minMax"/>
          <c:max val="50"/>
          <c:min val="-5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24894310"/>
        <c:crossesAt val="0"/>
        <c:crossBetween val="midCat"/>
        <c:dispUnits/>
        <c:majorUnit val="10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3937007874015748" right="0.3937007874015748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5753100"/>
    <xdr:graphicFrame>
      <xdr:nvGraphicFramePr>
        <xdr:cNvPr id="1" name="Shape 1025"/>
        <xdr:cNvGraphicFramePr/>
      </xdr:nvGraphicFramePr>
      <xdr:xfrm>
        <a:off x="0" y="0"/>
        <a:ext cx="99536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277"/>
  <sheetViews>
    <sheetView showGridLines="0" tabSelected="1" workbookViewId="0" topLeftCell="A1">
      <selection activeCell="E22" sqref="E22"/>
    </sheetView>
  </sheetViews>
  <sheetFormatPr defaultColWidth="9.625" defaultRowHeight="12.75"/>
  <cols>
    <col min="1" max="1" width="12.50390625" style="2" customWidth="1"/>
    <col min="2" max="2" width="16.375" style="2" customWidth="1"/>
    <col min="3" max="3" width="14.875" style="2" customWidth="1"/>
    <col min="4" max="4" width="10.625" style="28" customWidth="1"/>
    <col min="5" max="5" width="9.625" style="28" customWidth="1"/>
    <col min="6" max="8" width="9.625" style="2" customWidth="1"/>
    <col min="9" max="9" width="15.00390625" style="2" customWidth="1"/>
    <col min="10" max="10" width="9.625" style="2" customWidth="1"/>
    <col min="11" max="11" width="9.875" style="45" bestFit="1" customWidth="1"/>
    <col min="12" max="12" width="9.875" style="45" customWidth="1"/>
    <col min="13" max="13" width="8.375" style="46" customWidth="1"/>
    <col min="14" max="14" width="9.625" style="2" customWidth="1"/>
    <col min="15" max="15" width="11.25390625" style="47" customWidth="1"/>
    <col min="16" max="16" width="9.625" style="28" customWidth="1"/>
    <col min="17" max="19" width="9.625" style="2" customWidth="1"/>
    <col min="20" max="24" width="9.625" style="42" customWidth="1"/>
    <col min="25" max="31" width="9.625" style="2" customWidth="1"/>
    <col min="32" max="32" width="12.125" style="2" customWidth="1"/>
    <col min="33" max="33" width="12.00390625" style="42" customWidth="1"/>
    <col min="34" max="34" width="11.50390625" style="42" customWidth="1"/>
    <col min="35" max="16384" width="9.625" style="2" customWidth="1"/>
  </cols>
  <sheetData>
    <row r="1" ht="12">
      <c r="A1" s="2" t="s">
        <v>75</v>
      </c>
    </row>
    <row r="2" ht="12">
      <c r="A2" s="2" t="s">
        <v>76</v>
      </c>
    </row>
    <row r="3" spans="1:34" ht="12">
      <c r="A3" s="108"/>
      <c r="B3" s="109"/>
      <c r="C3" s="110"/>
      <c r="D3" s="110"/>
      <c r="E3" s="110"/>
      <c r="F3" s="111" t="s">
        <v>0</v>
      </c>
      <c r="G3" s="109"/>
      <c r="H3" s="112"/>
      <c r="AF3" s="28">
        <v>10</v>
      </c>
      <c r="AG3" s="42">
        <v>15</v>
      </c>
      <c r="AH3" s="28">
        <f>AF3</f>
        <v>10</v>
      </c>
    </row>
    <row r="4" spans="1:34" ht="12">
      <c r="A4" s="113"/>
      <c r="B4" s="51"/>
      <c r="C4" s="51">
        <v>57.295828</v>
      </c>
      <c r="D4" s="114"/>
      <c r="E4" s="114"/>
      <c r="F4" s="115">
        <f>B20/60</f>
        <v>41.02564102564102</v>
      </c>
      <c r="G4" s="51"/>
      <c r="H4" s="116"/>
      <c r="AF4" s="28">
        <f>D23</f>
        <v>100</v>
      </c>
      <c r="AG4" s="42">
        <v>15</v>
      </c>
      <c r="AH4" s="28">
        <f aca="true" t="shared" si="0" ref="AH4:AH38">AF4</f>
        <v>100</v>
      </c>
    </row>
    <row r="5" spans="1:34" ht="12">
      <c r="A5" s="117" t="s">
        <v>1</v>
      </c>
      <c r="B5" s="118" t="s">
        <v>88</v>
      </c>
      <c r="C5" s="118" t="s">
        <v>2</v>
      </c>
      <c r="D5" s="114" t="s">
        <v>3</v>
      </c>
      <c r="E5" s="119" t="s">
        <v>4</v>
      </c>
      <c r="F5" s="119" t="s">
        <v>5</v>
      </c>
      <c r="G5" s="51"/>
      <c r="H5" s="116"/>
      <c r="AF5" s="28"/>
      <c r="AH5" s="28">
        <f t="shared" si="0"/>
        <v>0</v>
      </c>
    </row>
    <row r="6" spans="1:34" ht="12">
      <c r="A6" s="113"/>
      <c r="B6" s="120">
        <v>0</v>
      </c>
      <c r="C6" s="51"/>
      <c r="D6" s="114"/>
      <c r="E6" s="115">
        <f>SUM(E8:E15)/8</f>
        <v>448.54782805777904</v>
      </c>
      <c r="F6" s="114"/>
      <c r="G6" s="121">
        <f>F4*E6*3.6/1000</f>
        <v>66.24706383622582</v>
      </c>
      <c r="H6" s="122" t="s">
        <v>6</v>
      </c>
      <c r="I6" s="5"/>
      <c r="AF6" s="28"/>
      <c r="AH6" s="28">
        <f t="shared" si="0"/>
        <v>0</v>
      </c>
    </row>
    <row r="7" spans="1:34" ht="12">
      <c r="A7" s="113"/>
      <c r="B7" s="51"/>
      <c r="C7" s="51"/>
      <c r="D7" s="114"/>
      <c r="E7" s="114"/>
      <c r="F7" s="114"/>
      <c r="G7" s="51"/>
      <c r="H7" s="116"/>
      <c r="AF7" s="28"/>
      <c r="AH7" s="28">
        <f t="shared" si="0"/>
        <v>0</v>
      </c>
    </row>
    <row r="8" spans="1:34" ht="12">
      <c r="A8" s="123">
        <f>F24</f>
        <v>23.862698918526245</v>
      </c>
      <c r="B8" s="124">
        <f>B6+A8</f>
        <v>23.862698918526245</v>
      </c>
      <c r="C8" s="51">
        <f>TAN(B8/C4)</f>
        <v>0.4423599365146021</v>
      </c>
      <c r="D8" s="114">
        <f>D24</f>
        <v>140</v>
      </c>
      <c r="E8" s="119">
        <f aca="true" t="shared" si="1" ref="E8:E15">C8*D8*2*3.14159</f>
        <v>389.11979482737445</v>
      </c>
      <c r="F8" s="119">
        <f>D8*2*3.14159*F4/1000</f>
        <v>36.0880082051282</v>
      </c>
      <c r="G8" s="51">
        <f aca="true" t="shared" si="2" ref="G8:G15">E8*F8</f>
        <v>14042.55834850809</v>
      </c>
      <c r="H8" s="125">
        <f>F4*E8*3.6/1000</f>
        <v>57.47000046681222</v>
      </c>
      <c r="I8" s="4" t="s">
        <v>83</v>
      </c>
      <c r="S8" s="3">
        <f>F24</f>
        <v>23.862698918526245</v>
      </c>
      <c r="T8" s="42">
        <f>S8-S8</f>
        <v>0</v>
      </c>
      <c r="W8" s="49">
        <v>120</v>
      </c>
      <c r="X8" s="49"/>
      <c r="AF8" s="28"/>
      <c r="AH8" s="28">
        <f t="shared" si="0"/>
        <v>0</v>
      </c>
    </row>
    <row r="9" spans="1:34" ht="12">
      <c r="A9" s="123">
        <f>F25</f>
        <v>18.692447486178892</v>
      </c>
      <c r="B9" s="124">
        <f>B6+A9</f>
        <v>18.692447486178892</v>
      </c>
      <c r="C9" s="51">
        <f>TAN(B9/C4)</f>
        <v>0.33833410625749677</v>
      </c>
      <c r="D9" s="114">
        <f>D25</f>
        <v>210</v>
      </c>
      <c r="E9" s="119">
        <f t="shared" si="1"/>
        <v>446.4209588485455</v>
      </c>
      <c r="F9" s="119">
        <f>D9*2*3.14159*F4/1000</f>
        <v>54.1320123076923</v>
      </c>
      <c r="G9" s="51">
        <f t="shared" si="2"/>
        <v>24165.664838801265</v>
      </c>
      <c r="H9" s="125">
        <f>F4*E9*3.6/1000</f>
        <v>65.93294161455441</v>
      </c>
      <c r="I9" s="4" t="s">
        <v>84</v>
      </c>
      <c r="S9" s="3">
        <f>F25</f>
        <v>18.692447486178892</v>
      </c>
      <c r="T9" s="42">
        <f>S8-S9</f>
        <v>5.170251432347353</v>
      </c>
      <c r="W9" s="49">
        <v>127</v>
      </c>
      <c r="X9" s="49"/>
      <c r="AF9" s="28"/>
      <c r="AH9" s="28">
        <f t="shared" si="0"/>
        <v>0</v>
      </c>
    </row>
    <row r="10" spans="1:34" ht="12">
      <c r="A10" s="123">
        <f>F26</f>
        <v>15.510754297042059</v>
      </c>
      <c r="B10" s="124">
        <f>B6+A10</f>
        <v>15.510754297042059</v>
      </c>
      <c r="C10" s="51">
        <f>TAN(B10/C4)</f>
        <v>0.27752644137751925</v>
      </c>
      <c r="D10" s="114">
        <f>D26</f>
        <v>280</v>
      </c>
      <c r="E10" s="119">
        <f t="shared" si="1"/>
        <v>488.2496040616324</v>
      </c>
      <c r="F10" s="119">
        <f>D10*2*3.14159*F4/1000</f>
        <v>72.1760164102564</v>
      </c>
      <c r="G10" s="51">
        <f t="shared" si="2"/>
        <v>35239.91143505357</v>
      </c>
      <c r="H10" s="125">
        <f>F4*E10*3.6/1000</f>
        <v>72.11071075371801</v>
      </c>
      <c r="I10" s="4" t="s">
        <v>85</v>
      </c>
      <c r="S10" s="3">
        <f>F26</f>
        <v>15.510754297042059</v>
      </c>
      <c r="T10" s="42">
        <f>S8-S10</f>
        <v>8.351944621484186</v>
      </c>
      <c r="W10" s="49">
        <v>130</v>
      </c>
      <c r="X10" s="49"/>
      <c r="AF10" s="28"/>
      <c r="AH10" s="28">
        <f t="shared" si="0"/>
        <v>0</v>
      </c>
    </row>
    <row r="11" spans="1:34" ht="12">
      <c r="A11" s="123">
        <f>F27</f>
        <v>12.726772756547332</v>
      </c>
      <c r="B11" s="124">
        <f>B6+A11</f>
        <v>12.726772756547332</v>
      </c>
      <c r="C11" s="51">
        <f>TAN(B11/C4)</f>
        <v>0.22585059131807825</v>
      </c>
      <c r="D11" s="114">
        <f>D27</f>
        <v>350</v>
      </c>
      <c r="E11" s="119">
        <f t="shared" si="1"/>
        <v>496.670971425273</v>
      </c>
      <c r="F11" s="119">
        <f>D11*2*3.14159*F4/1000</f>
        <v>90.2200205128205</v>
      </c>
      <c r="G11" s="51">
        <f t="shared" si="2"/>
        <v>44809.665230110615</v>
      </c>
      <c r="H11" s="125">
        <f>F4*E11*3.6/1000</f>
        <v>73.3544819335788</v>
      </c>
      <c r="I11" s="4" t="s">
        <v>86</v>
      </c>
      <c r="S11" s="3">
        <f>F27</f>
        <v>12.726772756547332</v>
      </c>
      <c r="T11" s="42">
        <f>S8-S11</f>
        <v>11.135926161978913</v>
      </c>
      <c r="W11" s="49">
        <v>130</v>
      </c>
      <c r="X11" s="49"/>
      <c r="AF11" s="28"/>
      <c r="AH11" s="28">
        <f t="shared" si="0"/>
        <v>0</v>
      </c>
    </row>
    <row r="12" spans="1:34" ht="12">
      <c r="A12" s="123">
        <f>F28</f>
        <v>10.340502864694706</v>
      </c>
      <c r="B12" s="124">
        <f>B6+A12</f>
        <v>10.340502864694706</v>
      </c>
      <c r="C12" s="51">
        <f>TAN(B12/C4)</f>
        <v>0.18246099095935286</v>
      </c>
      <c r="D12" s="114">
        <f>D28</f>
        <v>420</v>
      </c>
      <c r="E12" s="119">
        <f t="shared" si="1"/>
        <v>481.50280465391444</v>
      </c>
      <c r="F12" s="119">
        <f>D12*2*3.14159*F4/1000</f>
        <v>108.2640246153846</v>
      </c>
      <c r="G12" s="51">
        <f t="shared" si="2"/>
        <v>52129.431495428114</v>
      </c>
      <c r="H12" s="125">
        <f>F4*E12*3.6/1000</f>
        <v>71.11426037965505</v>
      </c>
      <c r="I12" s="4" t="s">
        <v>87</v>
      </c>
      <c r="S12" s="3">
        <f>F28</f>
        <v>10.340502864694706</v>
      </c>
      <c r="T12" s="42">
        <f>S8-S12</f>
        <v>13.52219605383154</v>
      </c>
      <c r="W12" s="49">
        <v>128</v>
      </c>
      <c r="X12" s="49"/>
      <c r="AF12" s="28"/>
      <c r="AH12" s="28">
        <f t="shared" si="0"/>
        <v>0</v>
      </c>
    </row>
    <row r="13" spans="1:34" ht="12">
      <c r="A13" s="132">
        <f>F30</f>
        <v>7.954232972842082</v>
      </c>
      <c r="B13" s="133">
        <f>B6+A13</f>
        <v>7.954232972842082</v>
      </c>
      <c r="C13" s="134">
        <f>TAN(B13/C4)</f>
        <v>0.13972624348447463</v>
      </c>
      <c r="D13" s="135">
        <f>D30</f>
        <v>525</v>
      </c>
      <c r="E13" s="136">
        <f t="shared" si="1"/>
        <v>460.91069773181016</v>
      </c>
      <c r="F13" s="136">
        <f>D13*2*3.14159*F4/1000</f>
        <v>135.33003076923077</v>
      </c>
      <c r="G13" s="134">
        <f t="shared" si="2"/>
        <v>62375.058905913495</v>
      </c>
      <c r="H13" s="137">
        <f>F4*E13*3.6/1000</f>
        <v>68.07296458808273</v>
      </c>
      <c r="I13" s="138" t="s">
        <v>58</v>
      </c>
      <c r="S13" s="3">
        <f>F30</f>
        <v>7.954232972842082</v>
      </c>
      <c r="T13" s="42">
        <f>S8-S13</f>
        <v>15.908465945684164</v>
      </c>
      <c r="W13" s="49">
        <v>120</v>
      </c>
      <c r="X13" s="49"/>
      <c r="AF13" s="28"/>
      <c r="AH13" s="28">
        <f t="shared" si="0"/>
        <v>0</v>
      </c>
    </row>
    <row r="14" spans="1:34" ht="12">
      <c r="A14" s="123">
        <f>F32</f>
        <v>6.164530553952614</v>
      </c>
      <c r="B14" s="124">
        <f>B6+A14</f>
        <v>6.164530553952614</v>
      </c>
      <c r="C14" s="51">
        <f>TAN(B14/C4)</f>
        <v>0.10800834984051737</v>
      </c>
      <c r="D14" s="114">
        <f>D32</f>
        <v>630</v>
      </c>
      <c r="E14" s="119">
        <f t="shared" si="1"/>
        <v>427.5406192370934</v>
      </c>
      <c r="F14" s="119">
        <f>D14*2*3.14159*F4/1000</f>
        <v>162.3960369230769</v>
      </c>
      <c r="G14" s="51">
        <f t="shared" si="2"/>
        <v>69430.90218774218</v>
      </c>
      <c r="H14" s="125">
        <f>F4*E14*3.6/1000</f>
        <v>63.14446068732456</v>
      </c>
      <c r="I14" s="4"/>
      <c r="S14" s="3">
        <f>F32</f>
        <v>6.164530553952614</v>
      </c>
      <c r="T14" s="42">
        <f>S8-S14</f>
        <v>17.698168364573633</v>
      </c>
      <c r="W14" s="49">
        <v>105</v>
      </c>
      <c r="X14" s="49"/>
      <c r="AF14" s="28"/>
      <c r="AH14" s="28">
        <f t="shared" si="0"/>
        <v>0</v>
      </c>
    </row>
    <row r="15" spans="1:34" ht="12">
      <c r="A15" s="126">
        <f>F33</f>
        <v>5.170251432347353</v>
      </c>
      <c r="B15" s="127">
        <f>B6+A15</f>
        <v>5.170251432347353</v>
      </c>
      <c r="C15" s="128">
        <f>TAN(B15/C4)</f>
        <v>0.09048356625525586</v>
      </c>
      <c r="D15" s="129">
        <f>D33</f>
        <v>700</v>
      </c>
      <c r="E15" s="130">
        <f t="shared" si="1"/>
        <v>397.96717367658897</v>
      </c>
      <c r="F15" s="130">
        <f>D15*2*3.14159*F4/1000</f>
        <v>180.440041025641</v>
      </c>
      <c r="G15" s="128">
        <f t="shared" si="2"/>
        <v>71809.21314506211</v>
      </c>
      <c r="H15" s="131">
        <f>F4*E15*3.6/1000</f>
        <v>58.77669026608083</v>
      </c>
      <c r="I15" s="4"/>
      <c r="S15" s="3">
        <f>F33</f>
        <v>5.170251432347353</v>
      </c>
      <c r="T15" s="42">
        <f>S8-S15</f>
        <v>18.692447486178892</v>
      </c>
      <c r="W15" s="49">
        <v>90</v>
      </c>
      <c r="X15" s="49"/>
      <c r="AF15" s="28"/>
      <c r="AH15" s="28">
        <f t="shared" si="0"/>
        <v>0</v>
      </c>
    </row>
    <row r="16" spans="1:34" ht="12">
      <c r="A16" s="50"/>
      <c r="B16" s="50" t="s">
        <v>54</v>
      </c>
      <c r="C16" s="14" t="s">
        <v>56</v>
      </c>
      <c r="D16" s="14"/>
      <c r="E16" s="14"/>
      <c r="F16" s="14"/>
      <c r="G16" s="50"/>
      <c r="H16" s="50"/>
      <c r="I16" s="51"/>
      <c r="AF16" s="28">
        <f aca="true" t="shared" si="3" ref="AF16:AF22">D23</f>
        <v>100</v>
      </c>
      <c r="AG16" s="42">
        <f>-AG48</f>
        <v>58.775694076344735</v>
      </c>
      <c r="AH16" s="28">
        <f t="shared" si="0"/>
        <v>100</v>
      </c>
    </row>
    <row r="17" spans="1:34" ht="12.75" thickBot="1">
      <c r="A17" s="14" t="s">
        <v>7</v>
      </c>
      <c r="B17" s="27" t="s">
        <v>8</v>
      </c>
      <c r="C17" s="14" t="s">
        <v>9</v>
      </c>
      <c r="D17" s="34" t="s">
        <v>10</v>
      </c>
      <c r="E17" s="14" t="s">
        <v>57</v>
      </c>
      <c r="F17" s="14" t="s">
        <v>59</v>
      </c>
      <c r="G17" s="50"/>
      <c r="H17" s="50"/>
      <c r="I17" s="51"/>
      <c r="AF17" s="28">
        <f t="shared" si="3"/>
        <v>140</v>
      </c>
      <c r="AG17" s="42">
        <f>-AG74</f>
        <v>61.28730945773471</v>
      </c>
      <c r="AH17" s="28">
        <f t="shared" si="0"/>
        <v>140</v>
      </c>
    </row>
    <row r="18" spans="1:34" ht="12.75" thickBot="1">
      <c r="A18" s="20">
        <f>A20/2*0.75</f>
        <v>0.5249999999999999</v>
      </c>
      <c r="B18" s="19">
        <v>20</v>
      </c>
      <c r="C18" s="33">
        <f>(360-C20)*0.00318</f>
        <v>0.5705604923076925</v>
      </c>
      <c r="D18" s="19">
        <v>2</v>
      </c>
      <c r="E18" s="30" t="s">
        <v>58</v>
      </c>
      <c r="F18" s="50" t="s">
        <v>60</v>
      </c>
      <c r="G18" s="50"/>
      <c r="H18" s="50"/>
      <c r="I18" s="51"/>
      <c r="T18" s="42" t="s">
        <v>67</v>
      </c>
      <c r="AF18" s="28">
        <f t="shared" si="3"/>
        <v>210</v>
      </c>
      <c r="AG18" s="42">
        <f>-AG102</f>
        <v>65.16245240817109</v>
      </c>
      <c r="AH18" s="28">
        <f t="shared" si="0"/>
        <v>210</v>
      </c>
    </row>
    <row r="19" spans="1:34" ht="14.25" thickBot="1">
      <c r="A19" s="27" t="s">
        <v>51</v>
      </c>
      <c r="B19" s="21" t="s">
        <v>52</v>
      </c>
      <c r="C19" s="14" t="s">
        <v>74</v>
      </c>
      <c r="D19" s="21" t="s">
        <v>73</v>
      </c>
      <c r="E19" s="37" t="s">
        <v>12</v>
      </c>
      <c r="F19" s="8" t="s">
        <v>13</v>
      </c>
      <c r="G19" s="14" t="s">
        <v>47</v>
      </c>
      <c r="H19" s="7" t="s">
        <v>14</v>
      </c>
      <c r="I19" s="15" t="s">
        <v>48</v>
      </c>
      <c r="J19" s="2" t="s">
        <v>40</v>
      </c>
      <c r="M19" s="46" t="s">
        <v>57</v>
      </c>
      <c r="N19" s="2" t="s">
        <v>43</v>
      </c>
      <c r="O19" s="47" t="s">
        <v>71</v>
      </c>
      <c r="P19" s="28" t="s">
        <v>62</v>
      </c>
      <c r="T19" s="42" t="s">
        <v>68</v>
      </c>
      <c r="AF19" s="28">
        <f t="shared" si="3"/>
        <v>280</v>
      </c>
      <c r="AG19" s="42">
        <f>-AG125</f>
        <v>67.8807525310219</v>
      </c>
      <c r="AH19" s="28">
        <f t="shared" si="0"/>
        <v>280</v>
      </c>
    </row>
    <row r="20" spans="1:34" ht="14.25" thickBot="1">
      <c r="A20" s="19">
        <v>1.4</v>
      </c>
      <c r="B20" s="22">
        <f>B24/B22</f>
        <v>2461.5384615384614</v>
      </c>
      <c r="C20" s="18">
        <f>A20*0.0524*B20</f>
        <v>180.5784615384615</v>
      </c>
      <c r="D20" s="139">
        <f>10.3*EXP(LN((0.72*A20*B18)^2)/3)</f>
        <v>76.29526337288021</v>
      </c>
      <c r="E20" s="38">
        <f>106*D20/D18/C18/A20/C20/C20</f>
        <v>0.15524292500814554</v>
      </c>
      <c r="F20" s="52">
        <f>(1030*D20/D18/E20/A20/C20/C20)+(200*SQRT(D20)/A20/C20)-4.5</f>
        <v>7.954232972842082</v>
      </c>
      <c r="G20" s="10">
        <f>TAN(F20/C4)*A20*3.14159*0.75</f>
        <v>0.46091069773181015</v>
      </c>
      <c r="H20" s="9">
        <f>B20/60*G20*3.6</f>
        <v>68.07296458808273</v>
      </c>
      <c r="I20" s="16" t="s">
        <v>49</v>
      </c>
      <c r="J20" s="2" t="s">
        <v>41</v>
      </c>
      <c r="M20" s="46" t="s">
        <v>64</v>
      </c>
      <c r="N20" s="2" t="s">
        <v>64</v>
      </c>
      <c r="O20" s="47" t="s">
        <v>72</v>
      </c>
      <c r="P20" s="102">
        <v>0.9</v>
      </c>
      <c r="T20" s="42" t="s">
        <v>69</v>
      </c>
      <c r="AF20" s="28">
        <f t="shared" si="3"/>
        <v>350</v>
      </c>
      <c r="AG20" s="42">
        <f>-AG148</f>
        <v>69.47637404724834</v>
      </c>
      <c r="AH20" s="28">
        <f t="shared" si="0"/>
        <v>350</v>
      </c>
    </row>
    <row r="21" spans="1:34" ht="14.25" thickBot="1">
      <c r="A21" s="53"/>
      <c r="B21" s="26" t="s">
        <v>55</v>
      </c>
      <c r="C21" s="29"/>
      <c r="D21" s="35"/>
      <c r="E21" s="39"/>
      <c r="F21" s="54"/>
      <c r="G21" s="24" t="s">
        <v>61</v>
      </c>
      <c r="H21" s="25"/>
      <c r="I21" s="16"/>
      <c r="K21" s="45">
        <v>-10</v>
      </c>
      <c r="O21" s="47">
        <v>0</v>
      </c>
      <c r="T21" s="42">
        <v>80</v>
      </c>
      <c r="Z21" s="2" t="s">
        <v>70</v>
      </c>
      <c r="AF21" s="28">
        <f t="shared" si="3"/>
        <v>420</v>
      </c>
      <c r="AG21" s="42">
        <f>-AG171</f>
        <v>69.16763284435083</v>
      </c>
      <c r="AH21" s="28">
        <f t="shared" si="0"/>
        <v>420</v>
      </c>
    </row>
    <row r="22" spans="1:34" ht="14.25" thickBot="1">
      <c r="A22" s="20"/>
      <c r="B22" s="19">
        <v>1.3</v>
      </c>
      <c r="C22" s="30"/>
      <c r="D22" s="14" t="s">
        <v>15</v>
      </c>
      <c r="E22" s="14"/>
      <c r="F22" s="55">
        <v>0</v>
      </c>
      <c r="G22" s="40">
        <f>(A20/2)^2*3.14159*G20*B20/60*1.2</f>
        <v>34.93003298731154</v>
      </c>
      <c r="H22" s="41" t="s">
        <v>46</v>
      </c>
      <c r="I22" s="15" t="s">
        <v>44</v>
      </c>
      <c r="J22" s="56" t="s">
        <v>16</v>
      </c>
      <c r="K22" s="57" t="s">
        <v>17</v>
      </c>
      <c r="L22" s="57"/>
      <c r="M22" s="58" t="s">
        <v>18</v>
      </c>
      <c r="N22" s="56" t="s">
        <v>19</v>
      </c>
      <c r="O22" s="59">
        <f>O24/2</f>
        <v>70</v>
      </c>
      <c r="P22" s="60" t="s">
        <v>20</v>
      </c>
      <c r="Q22" s="56" t="s">
        <v>21</v>
      </c>
      <c r="R22" s="56"/>
      <c r="S22" s="61" t="s">
        <v>22</v>
      </c>
      <c r="T22" s="42">
        <v>75</v>
      </c>
      <c r="Z22" s="2" t="s">
        <v>63</v>
      </c>
      <c r="AA22" s="2" t="s">
        <v>65</v>
      </c>
      <c r="AB22" s="62"/>
      <c r="AF22" s="28">
        <f t="shared" si="3"/>
        <v>489.99999999999994</v>
      </c>
      <c r="AG22" s="42">
        <f>-AG193</f>
        <v>67.39955057640623</v>
      </c>
      <c r="AH22" s="28">
        <f t="shared" si="0"/>
        <v>489.99999999999994</v>
      </c>
    </row>
    <row r="23" spans="1:34" ht="12.75" thickBot="1">
      <c r="A23" s="63" t="s">
        <v>50</v>
      </c>
      <c r="B23" s="64" t="s">
        <v>53</v>
      </c>
      <c r="C23" s="65">
        <f>D23/(A20*1000/2)</f>
        <v>0.14285714285714285</v>
      </c>
      <c r="D23" s="65">
        <v>100</v>
      </c>
      <c r="E23" s="66">
        <v>100</v>
      </c>
      <c r="F23" s="104">
        <v>26</v>
      </c>
      <c r="G23" s="11">
        <f>TAN(F23/C4)*A20*3.14159*C23</f>
        <v>0.30645086589895126</v>
      </c>
      <c r="H23" s="13">
        <f>F23-H38</f>
        <v>26</v>
      </c>
      <c r="I23" s="105">
        <v>0.77</v>
      </c>
      <c r="J23" s="67">
        <f>J30*I23</f>
        <v>118.38697892404583</v>
      </c>
      <c r="K23" s="68">
        <f>COS(F23/C4)</f>
        <v>0.8987942146417873</v>
      </c>
      <c r="L23" s="68">
        <f>COS(H23/C4)</f>
        <v>0.8987942146417873</v>
      </c>
      <c r="M23" s="69">
        <f aca="true" t="shared" si="4" ref="M23:M33">J23/K23</f>
        <v>131.7175578074106</v>
      </c>
      <c r="N23" s="67">
        <f>21.2*M23/100</f>
        <v>27.924122255171046</v>
      </c>
      <c r="O23" s="59">
        <f aca="true" t="shared" si="5" ref="O23:O33">D23</f>
        <v>100</v>
      </c>
      <c r="P23" s="60">
        <f>ROUND(N23*P20,1)</f>
        <v>25.1</v>
      </c>
      <c r="Q23" s="70">
        <f>SIN(F23/C4)</f>
        <v>0.43837080163538794</v>
      </c>
      <c r="R23" s="70">
        <f>SIN(H23/C4)</f>
        <v>0.43837080163538794</v>
      </c>
      <c r="S23" s="48">
        <f aca="true" t="shared" si="6" ref="S23:S33">ROUND(M23*Q23,1)</f>
        <v>57.7</v>
      </c>
      <c r="T23" s="42">
        <f>J23/2</f>
        <v>59.19348946202292</v>
      </c>
      <c r="U23" s="42">
        <f aca="true" t="shared" si="7" ref="U23:U29">O23</f>
        <v>100</v>
      </c>
      <c r="V23" s="42">
        <f>AG16</f>
        <v>58.775694076344735</v>
      </c>
      <c r="W23" s="42">
        <f>-T23</f>
        <v>-59.19348946202292</v>
      </c>
      <c r="X23" s="42">
        <f>AG35</f>
        <v>-60.38150234617446</v>
      </c>
      <c r="Z23" s="2" t="s">
        <v>64</v>
      </c>
      <c r="AB23" s="62"/>
      <c r="AF23" s="71">
        <f>D31</f>
        <v>560</v>
      </c>
      <c r="AG23" s="42">
        <f>-AG215</f>
        <v>65.39058630244897</v>
      </c>
      <c r="AH23" s="28">
        <f t="shared" si="0"/>
        <v>560</v>
      </c>
    </row>
    <row r="24" spans="1:34" ht="12.75" thickBot="1">
      <c r="A24" s="23" t="s">
        <v>23</v>
      </c>
      <c r="B24" s="19">
        <v>3200</v>
      </c>
      <c r="C24" s="30" t="s">
        <v>24</v>
      </c>
      <c r="D24" s="17">
        <f>A20*500*0.2</f>
        <v>140</v>
      </c>
      <c r="E24" s="17">
        <f>A20*500*0.2</f>
        <v>140</v>
      </c>
      <c r="F24" s="72">
        <f>(F20+F22)*3</f>
        <v>23.862698918526245</v>
      </c>
      <c r="G24" s="11">
        <f>TAN(F24/C4)*A20*3.14159*0.2</f>
        <v>0.38911979482737447</v>
      </c>
      <c r="H24" s="13">
        <f>F24-H38</f>
        <v>23.862698918526245</v>
      </c>
      <c r="I24" s="106">
        <v>0.8150684931506849</v>
      </c>
      <c r="J24" s="67">
        <f>J30*I24</f>
        <v>125.31622924712198</v>
      </c>
      <c r="K24" s="68">
        <f>COS(F24/C4)</f>
        <v>0.9145176620362084</v>
      </c>
      <c r="L24" s="68">
        <f>COS(H24/C4)</f>
        <v>0.9145176620362084</v>
      </c>
      <c r="M24" s="69">
        <f t="shared" si="4"/>
        <v>137.0298622424641</v>
      </c>
      <c r="N24" s="67">
        <f>19.6*M24/100</f>
        <v>26.857852999522965</v>
      </c>
      <c r="O24" s="59">
        <f t="shared" si="5"/>
        <v>140</v>
      </c>
      <c r="P24" s="60">
        <f>ROUND(N24*P20,1)</f>
        <v>24.2</v>
      </c>
      <c r="Q24" s="70">
        <f>SIN(F24/C4)</f>
        <v>0.4045459749198195</v>
      </c>
      <c r="R24" s="70">
        <f>SIN(H24/C4)</f>
        <v>0.4045459749198195</v>
      </c>
      <c r="S24" s="48">
        <f t="shared" si="6"/>
        <v>55.4</v>
      </c>
      <c r="T24" s="42">
        <f>J24/2</f>
        <v>62.65811462356099</v>
      </c>
      <c r="U24" s="42">
        <f t="shared" si="7"/>
        <v>140</v>
      </c>
      <c r="V24" s="42">
        <f aca="true" t="shared" si="8" ref="V24:V29">AG17</f>
        <v>61.28730945773471</v>
      </c>
      <c r="W24" s="42">
        <f>-T24</f>
        <v>-62.65811462356099</v>
      </c>
      <c r="X24" s="42">
        <f>AG34</f>
        <v>-64.71422067090145</v>
      </c>
      <c r="Z24" s="42">
        <f>2/3*P24*M24/100</f>
        <v>22.10748444178421</v>
      </c>
      <c r="AA24" s="42">
        <f>Z24*A20*5</f>
        <v>154.75239109248943</v>
      </c>
      <c r="AB24" s="62"/>
      <c r="AF24" s="71">
        <f>D32</f>
        <v>630</v>
      </c>
      <c r="AG24" s="42">
        <f>-AG239</f>
        <v>63.43820582262153</v>
      </c>
      <c r="AH24" s="28">
        <f t="shared" si="0"/>
        <v>630</v>
      </c>
    </row>
    <row r="25" spans="1:34" ht="12">
      <c r="A25" s="73">
        <f>E20/A20</f>
        <v>0.11088780357724683</v>
      </c>
      <c r="B25" s="74"/>
      <c r="C25" s="14" t="s">
        <v>25</v>
      </c>
      <c r="D25" s="17">
        <f>A20*500*0.3</f>
        <v>210</v>
      </c>
      <c r="E25" s="17">
        <f>A20*500*0.3</f>
        <v>210</v>
      </c>
      <c r="F25" s="72">
        <f>(F20+F22)*2.35</f>
        <v>18.692447486178892</v>
      </c>
      <c r="G25" s="11">
        <f>TAN(F25/C4)*A20*3.14159*0.3</f>
        <v>0.44642095884854543</v>
      </c>
      <c r="H25" s="13">
        <f>F25-H38</f>
        <v>18.692447486178892</v>
      </c>
      <c r="I25" s="106">
        <v>0.8904109589041095</v>
      </c>
      <c r="J25" s="67">
        <f>J30*I25</f>
        <v>136.9000823708055</v>
      </c>
      <c r="K25" s="68">
        <f>COS(F25/C4)</f>
        <v>0.9472526199958332</v>
      </c>
      <c r="L25" s="68">
        <f>COS(H25/C4)</f>
        <v>0.9472526199958332</v>
      </c>
      <c r="M25" s="69">
        <f t="shared" si="4"/>
        <v>144.52330822944327</v>
      </c>
      <c r="N25" s="67">
        <f>17.1*M25/100</f>
        <v>24.713485707234803</v>
      </c>
      <c r="O25" s="59">
        <f t="shared" si="5"/>
        <v>210</v>
      </c>
      <c r="P25" s="60">
        <f>ROUND(N25*P20,1)</f>
        <v>22.2</v>
      </c>
      <c r="Q25" s="70">
        <f>SIN(F25/C4)</f>
        <v>0.32048786858636247</v>
      </c>
      <c r="R25" s="70">
        <f>SIN(H25/C4)</f>
        <v>0.32048786858636247</v>
      </c>
      <c r="S25" s="48">
        <f t="shared" si="6"/>
        <v>46.3</v>
      </c>
      <c r="T25" s="42">
        <f aca="true" t="shared" si="9" ref="T25:T33">J25/2</f>
        <v>68.45004118540275</v>
      </c>
      <c r="U25" s="42">
        <f t="shared" si="7"/>
        <v>210</v>
      </c>
      <c r="V25" s="42">
        <f t="shared" si="8"/>
        <v>65.16245240817109</v>
      </c>
      <c r="W25" s="42">
        <f aca="true" t="shared" si="10" ref="W25:W33">-T25</f>
        <v>-68.45004118540275</v>
      </c>
      <c r="X25" s="42">
        <f>AG33</f>
        <v>-72.2356681104176</v>
      </c>
      <c r="Z25" s="42">
        <f aca="true" t="shared" si="11" ref="Z25:Z33">2/3*P25*M25/100</f>
        <v>21.389449617957602</v>
      </c>
      <c r="AA25" s="42">
        <f>Z25*A20*5</f>
        <v>149.7261473257032</v>
      </c>
      <c r="AB25" s="62"/>
      <c r="AF25" s="71">
        <f>D33</f>
        <v>700</v>
      </c>
      <c r="AG25" s="42">
        <f>-AG262</f>
        <v>61.41220333968754</v>
      </c>
      <c r="AH25" s="28">
        <f t="shared" si="0"/>
        <v>700</v>
      </c>
    </row>
    <row r="26" spans="1:34" ht="12">
      <c r="A26" s="14"/>
      <c r="B26" s="50"/>
      <c r="C26" s="14" t="s">
        <v>26</v>
      </c>
      <c r="D26" s="17">
        <f>A20*500*0.4</f>
        <v>280</v>
      </c>
      <c r="E26" s="17">
        <f>A20*500*0.4</f>
        <v>280</v>
      </c>
      <c r="F26" s="72">
        <f>(F20+F22)*1.95</f>
        <v>15.510754297042059</v>
      </c>
      <c r="G26" s="11">
        <f>TAN(F26/C4)*A20*3.14159*0.4</f>
        <v>0.48824960406163237</v>
      </c>
      <c r="H26" s="13">
        <f>F26-H38</f>
        <v>15.510754297042059</v>
      </c>
      <c r="I26" s="106">
        <v>0.9424657534246575</v>
      </c>
      <c r="J26" s="67">
        <f>J30*I26</f>
        <v>144.90347180171418</v>
      </c>
      <c r="K26" s="68">
        <f>COS(F26/C4)</f>
        <v>0.9635803374183004</v>
      </c>
      <c r="L26" s="68">
        <f>COS(H26/C4)</f>
        <v>0.9635803374183004</v>
      </c>
      <c r="M26" s="69">
        <f t="shared" si="4"/>
        <v>150.3802705127326</v>
      </c>
      <c r="N26" s="67">
        <f>14.8*M26/100</f>
        <v>22.25628003588443</v>
      </c>
      <c r="O26" s="59">
        <f t="shared" si="5"/>
        <v>280</v>
      </c>
      <c r="P26" s="60">
        <f>ROUND(N26*P20,1)</f>
        <v>20</v>
      </c>
      <c r="Q26" s="70">
        <f>SIN(F26/C4)</f>
        <v>0.2674190220250502</v>
      </c>
      <c r="R26" s="70">
        <f>SIN(H26/C4)</f>
        <v>0.2674190220250502</v>
      </c>
      <c r="S26" s="48">
        <f t="shared" si="6"/>
        <v>40.2</v>
      </c>
      <c r="T26" s="42">
        <f t="shared" si="9"/>
        <v>72.45173590085709</v>
      </c>
      <c r="U26" s="42">
        <f t="shared" si="7"/>
        <v>280</v>
      </c>
      <c r="V26" s="42">
        <f t="shared" si="8"/>
        <v>67.8807525310219</v>
      </c>
      <c r="W26" s="42">
        <f t="shared" si="10"/>
        <v>-72.45173590085709</v>
      </c>
      <c r="X26" s="42">
        <f>AG32</f>
        <v>-77.39710590152735</v>
      </c>
      <c r="Z26" s="42">
        <f t="shared" si="11"/>
        <v>20.050702735031013</v>
      </c>
      <c r="AA26" s="42">
        <f>Z26*A20*5</f>
        <v>140.35491914521708</v>
      </c>
      <c r="AB26" s="62"/>
      <c r="AF26" s="71">
        <f>D33</f>
        <v>700</v>
      </c>
      <c r="AG26" s="42">
        <f>-AG275</f>
        <v>-74.39323647769564</v>
      </c>
      <c r="AH26" s="28">
        <f t="shared" si="0"/>
        <v>700</v>
      </c>
    </row>
    <row r="27" spans="1:34" ht="12">
      <c r="A27" s="14"/>
      <c r="B27" s="50"/>
      <c r="C27" s="14" t="s">
        <v>27</v>
      </c>
      <c r="D27" s="17">
        <f>A20*500*0.5</f>
        <v>350</v>
      </c>
      <c r="E27" s="17">
        <f>A20*500*0.5</f>
        <v>350</v>
      </c>
      <c r="F27" s="72">
        <f>(F20+F22)*1.6</f>
        <v>12.726772756547332</v>
      </c>
      <c r="G27" s="11">
        <f>TAN(F27/C4)*A20*3.14159*0.5</f>
        <v>0.496670971425273</v>
      </c>
      <c r="H27" s="13">
        <f>F27-H38</f>
        <v>12.726772756547332</v>
      </c>
      <c r="I27" s="106">
        <v>0.976</v>
      </c>
      <c r="J27" s="67">
        <f>J30*I27</f>
        <v>150.05933951931004</v>
      </c>
      <c r="K27" s="68">
        <f>COS(F27/C4)</f>
        <v>0.9754317507187742</v>
      </c>
      <c r="L27" s="68">
        <f>COS(H27/C4)</f>
        <v>0.9754317507187742</v>
      </c>
      <c r="M27" s="69">
        <f t="shared" si="4"/>
        <v>153.8388917612479</v>
      </c>
      <c r="N27" s="67">
        <f>12.75*M27/100</f>
        <v>19.61445869955911</v>
      </c>
      <c r="O27" s="59">
        <f t="shared" si="5"/>
        <v>350</v>
      </c>
      <c r="P27" s="60">
        <f>ROUND(N27*P20,1)</f>
        <v>17.7</v>
      </c>
      <c r="Q27" s="70">
        <f>SIN(F27/C4)</f>
        <v>0.22030183769026346</v>
      </c>
      <c r="R27" s="70">
        <f>SIN(H27/C4)</f>
        <v>0.22030183769026346</v>
      </c>
      <c r="S27" s="48">
        <f t="shared" si="6"/>
        <v>33.9</v>
      </c>
      <c r="T27" s="42">
        <f t="shared" si="9"/>
        <v>75.02966975965502</v>
      </c>
      <c r="U27" s="42">
        <f t="shared" si="7"/>
        <v>350</v>
      </c>
      <c r="V27" s="42">
        <f t="shared" si="8"/>
        <v>69.47637404724834</v>
      </c>
      <c r="W27" s="42">
        <f t="shared" si="10"/>
        <v>-75.02966975965502</v>
      </c>
      <c r="X27" s="42">
        <f>AG31</f>
        <v>-80.85591944895994</v>
      </c>
      <c r="Z27" s="42">
        <f t="shared" si="11"/>
        <v>18.152989227827252</v>
      </c>
      <c r="AA27" s="42">
        <f>Z27*A20*5</f>
        <v>127.07092459479077</v>
      </c>
      <c r="AB27" s="62"/>
      <c r="AF27" s="71">
        <f>D32</f>
        <v>630</v>
      </c>
      <c r="AG27" s="42">
        <f>-AG252</f>
        <v>-76.54057847198206</v>
      </c>
      <c r="AH27" s="28">
        <f t="shared" si="0"/>
        <v>630</v>
      </c>
    </row>
    <row r="28" spans="1:34" ht="12">
      <c r="A28" s="76">
        <f>100*EXP(LN(20/(90*B20*B20))/4)</f>
        <v>1.3838644679713286</v>
      </c>
      <c r="B28" s="50"/>
      <c r="C28" s="14" t="s">
        <v>28</v>
      </c>
      <c r="D28" s="17">
        <f>A20*500*0.6</f>
        <v>420</v>
      </c>
      <c r="E28" s="17">
        <f>A20*500*0.6</f>
        <v>420</v>
      </c>
      <c r="F28" s="72">
        <f>(F20+F22)*1.3</f>
        <v>10.340502864694706</v>
      </c>
      <c r="G28" s="11">
        <f>TAN(F28/C4)*A20*3.14159*0.6</f>
        <v>0.48150280465391443</v>
      </c>
      <c r="H28" s="13">
        <f>F28-H38</f>
        <v>10.340502864694706</v>
      </c>
      <c r="I28" s="106">
        <v>0.98</v>
      </c>
      <c r="J28" s="67">
        <f>J30*I28</f>
        <v>150.67433681242196</v>
      </c>
      <c r="K28" s="68">
        <f>COS(F28/C4)</f>
        <v>0.983758422747244</v>
      </c>
      <c r="L28" s="68">
        <f>COS(H28/C4)</f>
        <v>0.983758422747244</v>
      </c>
      <c r="M28" s="69">
        <f t="shared" si="4"/>
        <v>153.1619280998365</v>
      </c>
      <c r="N28" s="67">
        <f>11*M28/100</f>
        <v>16.847812090982014</v>
      </c>
      <c r="O28" s="59">
        <f t="shared" si="5"/>
        <v>420</v>
      </c>
      <c r="P28" s="60">
        <f>ROUND(N28*P20,1)</f>
        <v>15.2</v>
      </c>
      <c r="Q28" s="70">
        <f>SIN(F28/C4)</f>
        <v>0.17949753667907212</v>
      </c>
      <c r="R28" s="70">
        <f>SIN(H28/C4)</f>
        <v>0.17949753667907212</v>
      </c>
      <c r="S28" s="48">
        <f t="shared" si="6"/>
        <v>27.5</v>
      </c>
      <c r="T28" s="42">
        <f t="shared" si="9"/>
        <v>75.33716840621098</v>
      </c>
      <c r="U28" s="42">
        <f t="shared" si="7"/>
        <v>420</v>
      </c>
      <c r="V28" s="42">
        <f t="shared" si="8"/>
        <v>69.16763284435083</v>
      </c>
      <c r="W28" s="42">
        <f t="shared" si="10"/>
        <v>-75.33716840621098</v>
      </c>
      <c r="X28" s="42">
        <f>AG30</f>
        <v>-81.69768934709766</v>
      </c>
      <c r="Z28" s="42">
        <f t="shared" si="11"/>
        <v>15.520408714116765</v>
      </c>
      <c r="AA28" s="42">
        <f>Z28*A20*5</f>
        <v>108.64286099881735</v>
      </c>
      <c r="AB28" s="62"/>
      <c r="AF28" s="71">
        <f>D31</f>
        <v>560</v>
      </c>
      <c r="AG28" s="42">
        <f>-AG228</f>
        <v>-78.4631091571172</v>
      </c>
      <c r="AH28" s="28">
        <f t="shared" si="0"/>
        <v>560</v>
      </c>
    </row>
    <row r="29" spans="1:34" ht="12">
      <c r="A29" s="14"/>
      <c r="B29" s="50"/>
      <c r="C29" s="14" t="s">
        <v>29</v>
      </c>
      <c r="D29" s="17">
        <f>A20*500*0.7</f>
        <v>489.99999999999994</v>
      </c>
      <c r="E29" s="17">
        <f>A20*500*0.7</f>
        <v>489.99999999999994</v>
      </c>
      <c r="F29" s="72">
        <f>(F20+F22)*1.09</f>
        <v>8.67011394039787</v>
      </c>
      <c r="G29" s="11">
        <f>TAN(F29/C4)*A20*3.14159*0.7</f>
        <v>0.4694724198302337</v>
      </c>
      <c r="H29" s="13">
        <f>F29-H38</f>
        <v>8.67011394039787</v>
      </c>
      <c r="I29" s="106">
        <v>0.96</v>
      </c>
      <c r="J29" s="67">
        <f>J30*I29</f>
        <v>147.59935034686234</v>
      </c>
      <c r="K29" s="68">
        <f>COS(F29/C4)</f>
        <v>0.9885726708135044</v>
      </c>
      <c r="L29" s="68">
        <f>COS(H29/C4)</f>
        <v>0.9885726708135044</v>
      </c>
      <c r="M29" s="69">
        <f t="shared" si="4"/>
        <v>149.3055136001298</v>
      </c>
      <c r="N29" s="67">
        <f>9.7*M29/100</f>
        <v>14.482634819212592</v>
      </c>
      <c r="O29" s="59">
        <f t="shared" si="5"/>
        <v>489.99999999999994</v>
      </c>
      <c r="P29" s="60">
        <f>ROUND(N29*P20,1)</f>
        <v>13</v>
      </c>
      <c r="Q29" s="70">
        <f>SIN(F29/C4)</f>
        <v>0.15074506466433546</v>
      </c>
      <c r="R29" s="70">
        <f>SIN(H29/C4)</f>
        <v>0.15074506466433546</v>
      </c>
      <c r="S29" s="48">
        <f t="shared" si="6"/>
        <v>22.5</v>
      </c>
      <c r="T29" s="42">
        <f t="shared" si="9"/>
        <v>73.79967517343117</v>
      </c>
      <c r="U29" s="42">
        <f t="shared" si="7"/>
        <v>489.99999999999994</v>
      </c>
      <c r="V29" s="42">
        <f t="shared" si="8"/>
        <v>67.39955057640623</v>
      </c>
      <c r="W29" s="42">
        <f t="shared" si="10"/>
        <v>-73.79967517343117</v>
      </c>
      <c r="X29" s="42">
        <f>AG29</f>
        <v>-80.33697777930064</v>
      </c>
      <c r="Z29" s="42">
        <f t="shared" si="11"/>
        <v>12.939811178677918</v>
      </c>
      <c r="AA29" s="42">
        <f>Z29*A20*5</f>
        <v>90.57867825074541</v>
      </c>
      <c r="AB29" s="62"/>
      <c r="AF29" s="71">
        <f>D29</f>
        <v>489.99999999999994</v>
      </c>
      <c r="AG29" s="42">
        <f>-AG206</f>
        <v>-80.33697777930064</v>
      </c>
      <c r="AH29" s="28">
        <f t="shared" si="0"/>
        <v>489.99999999999994</v>
      </c>
    </row>
    <row r="30" spans="1:34" ht="12">
      <c r="A30" s="77">
        <f>30*40/B20</f>
        <v>0.48750000000000004</v>
      </c>
      <c r="B30" s="50"/>
      <c r="C30" s="31" t="s">
        <v>7</v>
      </c>
      <c r="D30" s="36">
        <f>A20*500*0.75</f>
        <v>525</v>
      </c>
      <c r="E30" s="36">
        <f>A20*500*0.75</f>
        <v>525</v>
      </c>
      <c r="F30" s="72">
        <f>(F20+F22)</f>
        <v>7.954232972842082</v>
      </c>
      <c r="G30" s="12">
        <f>TAN(F30/C4)*A20*3.14159*0.75</f>
        <v>0.46091069773181015</v>
      </c>
      <c r="H30" s="13">
        <f>F30-H38</f>
        <v>7.954232972842082</v>
      </c>
      <c r="I30" s="106">
        <v>1</v>
      </c>
      <c r="J30" s="78">
        <f>E20*1000*K30</f>
        <v>153.7493232779816</v>
      </c>
      <c r="K30" s="79">
        <f>COS(F30/C4)</f>
        <v>0.990378938492137</v>
      </c>
      <c r="L30" s="68">
        <f>COS(H30/C4)</f>
        <v>0.990378938492137</v>
      </c>
      <c r="M30" s="80">
        <f t="shared" si="4"/>
        <v>155.24292500814553</v>
      </c>
      <c r="N30" s="78">
        <f>8.7*M30/100</f>
        <v>13.506134475708661</v>
      </c>
      <c r="O30" s="59">
        <f t="shared" si="5"/>
        <v>525</v>
      </c>
      <c r="P30" s="81">
        <f>ROUND(N30*P20,1)</f>
        <v>12.2</v>
      </c>
      <c r="Q30" s="82">
        <f>SIN(F30/C4)</f>
        <v>0.13838192870164787</v>
      </c>
      <c r="R30" s="70">
        <f>SIN(H30/C4)</f>
        <v>0.13838192870164787</v>
      </c>
      <c r="S30" s="83">
        <f t="shared" si="6"/>
        <v>21.5</v>
      </c>
      <c r="T30" s="42">
        <f t="shared" si="9"/>
        <v>76.8746616389908</v>
      </c>
      <c r="U30" s="42">
        <f>O31</f>
        <v>560</v>
      </c>
      <c r="V30" s="42">
        <f>AG23</f>
        <v>65.39058630244897</v>
      </c>
      <c r="W30" s="42">
        <f t="shared" si="10"/>
        <v>-76.8746616389908</v>
      </c>
      <c r="X30" s="42">
        <f>AG28</f>
        <v>-78.4631091571172</v>
      </c>
      <c r="Z30" s="42">
        <f t="shared" si="11"/>
        <v>12.62642456732917</v>
      </c>
      <c r="AA30" s="42">
        <f>Z30*A20*5</f>
        <v>88.3849719713042</v>
      </c>
      <c r="AB30" s="62"/>
      <c r="AF30" s="71">
        <f>D28</f>
        <v>420</v>
      </c>
      <c r="AG30" s="42">
        <f>-AG184</f>
        <v>-81.69768934709766</v>
      </c>
      <c r="AH30" s="28">
        <f t="shared" si="0"/>
        <v>420</v>
      </c>
    </row>
    <row r="31" spans="1:34" ht="12">
      <c r="A31" s="14"/>
      <c r="B31" s="50"/>
      <c r="C31" s="14" t="s">
        <v>30</v>
      </c>
      <c r="D31" s="17">
        <f>A20*500*0.8</f>
        <v>560</v>
      </c>
      <c r="E31" s="17">
        <f>A20*500*0.8</f>
        <v>560</v>
      </c>
      <c r="F31" s="72">
        <f>(F20+F22)*0.92</f>
        <v>7.317894335014715</v>
      </c>
      <c r="G31" s="11">
        <f>TAN(F31/C4)*A20*3.14159*0.8</f>
        <v>0.4518571933425561</v>
      </c>
      <c r="H31" s="13">
        <f>F31-H38</f>
        <v>7.317894335014715</v>
      </c>
      <c r="I31" s="106">
        <v>0.935</v>
      </c>
      <c r="J31" s="67">
        <f>J30*I31</f>
        <v>143.75561726491281</v>
      </c>
      <c r="K31" s="68">
        <f>COS(F31/C4)</f>
        <v>0.9918547237915812</v>
      </c>
      <c r="L31" s="68">
        <f>COS(H31/C4)</f>
        <v>0.9918547237915812</v>
      </c>
      <c r="M31" s="69">
        <f t="shared" si="4"/>
        <v>144.93616233975837</v>
      </c>
      <c r="N31" s="67">
        <f>8.4*M31/100</f>
        <v>12.174637636539703</v>
      </c>
      <c r="O31" s="59">
        <f t="shared" si="5"/>
        <v>560</v>
      </c>
      <c r="P31" s="60">
        <f>ROUND(N31*P20,1)</f>
        <v>11</v>
      </c>
      <c r="Q31" s="70">
        <f>SIN(F31/C4)</f>
        <v>0.12737427877058274</v>
      </c>
      <c r="R31" s="70">
        <f>SIN(H31/C4)</f>
        <v>0.12737427877058274</v>
      </c>
      <c r="S31" s="48">
        <f t="shared" si="6"/>
        <v>18.5</v>
      </c>
      <c r="T31" s="42">
        <f t="shared" si="9"/>
        <v>71.87780863245641</v>
      </c>
      <c r="U31" s="42">
        <f>O32</f>
        <v>630</v>
      </c>
      <c r="V31" s="42">
        <f>AG24</f>
        <v>63.43820582262153</v>
      </c>
      <c r="W31" s="42">
        <f t="shared" si="10"/>
        <v>-71.87780863245641</v>
      </c>
      <c r="X31" s="42">
        <f>AG27</f>
        <v>-76.54057847198206</v>
      </c>
      <c r="Z31" s="42">
        <f t="shared" si="11"/>
        <v>10.628651904915614</v>
      </c>
      <c r="AA31" s="42">
        <f>Z31*A20*5</f>
        <v>74.4005633344093</v>
      </c>
      <c r="AB31" s="62"/>
      <c r="AF31" s="71">
        <f>D27</f>
        <v>350</v>
      </c>
      <c r="AG31" s="42">
        <f>-AG161</f>
        <v>-80.85591944895994</v>
      </c>
      <c r="AH31" s="28">
        <f t="shared" si="0"/>
        <v>350</v>
      </c>
    </row>
    <row r="32" spans="1:34" ht="12">
      <c r="A32" s="14"/>
      <c r="B32" s="50"/>
      <c r="C32" s="14" t="s">
        <v>31</v>
      </c>
      <c r="D32" s="17">
        <f>A20*500*0.9</f>
        <v>630</v>
      </c>
      <c r="E32" s="17">
        <f>A20*500*0.9</f>
        <v>630</v>
      </c>
      <c r="F32" s="72">
        <f>(F20+F22)*0.775</f>
        <v>6.164530553952614</v>
      </c>
      <c r="G32" s="11">
        <f>TAN(F32/C4)*A20*3.14159*0.9</f>
        <v>0.42754061923709336</v>
      </c>
      <c r="H32" s="13">
        <f>F32-H38</f>
        <v>6.164530553952614</v>
      </c>
      <c r="I32" s="106">
        <v>0.91</v>
      </c>
      <c r="J32" s="67">
        <f>J30*I32</f>
        <v>139.91188418296326</v>
      </c>
      <c r="K32" s="68">
        <f>COS(F32/C4)</f>
        <v>0.9942176411811379</v>
      </c>
      <c r="L32" s="68">
        <f>COS(H32/C4)</f>
        <v>0.9942176411811379</v>
      </c>
      <c r="M32" s="69">
        <f t="shared" si="4"/>
        <v>140.72561015588792</v>
      </c>
      <c r="N32" s="67">
        <f>7*M32/100</f>
        <v>9.850792710912154</v>
      </c>
      <c r="O32" s="59">
        <f t="shared" si="5"/>
        <v>630</v>
      </c>
      <c r="P32" s="60">
        <f>ROUND(N32*P20,1)</f>
        <v>8.9</v>
      </c>
      <c r="Q32" s="70">
        <f>SIN(F32/C4)</f>
        <v>0.10738380680630631</v>
      </c>
      <c r="R32" s="70">
        <f>SIN(H32/C4)</f>
        <v>0.10738380680630631</v>
      </c>
      <c r="S32" s="48">
        <f t="shared" si="6"/>
        <v>15.1</v>
      </c>
      <c r="T32" s="42">
        <f t="shared" si="9"/>
        <v>69.95594209148163</v>
      </c>
      <c r="U32" s="42">
        <f>O33</f>
        <v>700</v>
      </c>
      <c r="V32" s="42">
        <f>AG25</f>
        <v>61.41220333968754</v>
      </c>
      <c r="W32" s="42">
        <f t="shared" si="10"/>
        <v>-69.95594209148163</v>
      </c>
      <c r="X32" s="42">
        <f>AG26</f>
        <v>-74.39323647769564</v>
      </c>
      <c r="Z32" s="42">
        <f t="shared" si="11"/>
        <v>8.349719535916018</v>
      </c>
      <c r="AA32" s="42">
        <f>Z32*A20*5</f>
        <v>58.44803675141212</v>
      </c>
      <c r="AB32" s="62"/>
      <c r="AF32" s="71">
        <f>D26</f>
        <v>280</v>
      </c>
      <c r="AG32" s="42">
        <f>-AG138</f>
        <v>-77.39710590152735</v>
      </c>
      <c r="AH32" s="28">
        <f t="shared" si="0"/>
        <v>280</v>
      </c>
    </row>
    <row r="33" spans="1:34" ht="12">
      <c r="A33" s="14"/>
      <c r="B33" s="50"/>
      <c r="C33" s="14" t="s">
        <v>11</v>
      </c>
      <c r="D33" s="17">
        <f>A20*500</f>
        <v>700</v>
      </c>
      <c r="E33" s="17">
        <f>A20*500</f>
        <v>700</v>
      </c>
      <c r="F33" s="72">
        <f>(F20+F22)*0.65</f>
        <v>5.170251432347353</v>
      </c>
      <c r="G33" s="11">
        <f>TAN(F33/C4)*A20*3.14159</f>
        <v>0.3979671736765889</v>
      </c>
      <c r="H33" s="13">
        <f>F33-H38</f>
        <v>5.170251432347353</v>
      </c>
      <c r="I33" s="106">
        <v>0.883</v>
      </c>
      <c r="J33" s="67">
        <f>J30*I33</f>
        <v>135.76065245445776</v>
      </c>
      <c r="K33" s="68">
        <f>COS(F33/C4)</f>
        <v>0.9959313286435074</v>
      </c>
      <c r="L33" s="68">
        <f>COS(H33/C4)</f>
        <v>0.9959313286435074</v>
      </c>
      <c r="M33" s="69">
        <f t="shared" si="4"/>
        <v>136.31527450729803</v>
      </c>
      <c r="N33" s="67">
        <f>5.8*M33/100</f>
        <v>7.906285921423286</v>
      </c>
      <c r="O33" s="59">
        <f t="shared" si="5"/>
        <v>700</v>
      </c>
      <c r="P33" s="60">
        <f>ROUND(N33*P20,1)</f>
        <v>7.1</v>
      </c>
      <c r="Q33" s="70">
        <f>SIN(F33/C4)</f>
        <v>0.0901154183609998</v>
      </c>
      <c r="R33" s="70">
        <f>SIN(H33/C4)</f>
        <v>0.0901154183609998</v>
      </c>
      <c r="S33" s="48">
        <f t="shared" si="6"/>
        <v>12.3</v>
      </c>
      <c r="T33" s="42">
        <f t="shared" si="9"/>
        <v>67.88032622722888</v>
      </c>
      <c r="W33" s="42">
        <f t="shared" si="10"/>
        <v>-67.88032622722888</v>
      </c>
      <c r="Z33" s="42">
        <f t="shared" si="11"/>
        <v>6.452256326678772</v>
      </c>
      <c r="AA33" s="42">
        <f>Z33*A20*5</f>
        <v>45.1657942867514</v>
      </c>
      <c r="AB33" s="62"/>
      <c r="AF33" s="71">
        <f>D25</f>
        <v>210</v>
      </c>
      <c r="AG33" s="42">
        <f>-AG115</f>
        <v>-72.2356681104176</v>
      </c>
      <c r="AH33" s="28">
        <f t="shared" si="0"/>
        <v>210</v>
      </c>
    </row>
    <row r="34" spans="1:34" ht="12">
      <c r="A34" s="14"/>
      <c r="B34" s="50"/>
      <c r="C34" s="14"/>
      <c r="D34" s="14"/>
      <c r="E34" s="14"/>
      <c r="F34" s="50"/>
      <c r="G34" s="50"/>
      <c r="H34" s="50"/>
      <c r="I34" s="51"/>
      <c r="J34" s="67"/>
      <c r="M34" s="69"/>
      <c r="N34" s="67"/>
      <c r="O34" s="59"/>
      <c r="Q34" s="84"/>
      <c r="R34" s="84"/>
      <c r="Z34" s="42"/>
      <c r="AA34" s="42">
        <f>SUM(AA24:AA33)</f>
        <v>1037.5252877516402</v>
      </c>
      <c r="AB34" s="2" t="s">
        <v>66</v>
      </c>
      <c r="AF34" s="71">
        <f>D24</f>
        <v>140</v>
      </c>
      <c r="AG34" s="42">
        <f>-AG87</f>
        <v>-64.71422067090145</v>
      </c>
      <c r="AH34" s="28">
        <f t="shared" si="0"/>
        <v>140</v>
      </c>
    </row>
    <row r="35" spans="1:34" ht="12">
      <c r="A35" s="14"/>
      <c r="B35" s="50"/>
      <c r="C35" s="14"/>
      <c r="D35" s="14"/>
      <c r="E35" s="14"/>
      <c r="F35" s="50"/>
      <c r="G35" s="50"/>
      <c r="H35" s="50"/>
      <c r="I35" s="51"/>
      <c r="Q35" s="84"/>
      <c r="R35" s="84"/>
      <c r="T35" s="85"/>
      <c r="U35" s="85"/>
      <c r="V35" s="85"/>
      <c r="W35" s="85"/>
      <c r="X35" s="85"/>
      <c r="AF35" s="71">
        <f>D23</f>
        <v>100</v>
      </c>
      <c r="AG35" s="42">
        <f>-AG61</f>
        <v>-60.38150234617446</v>
      </c>
      <c r="AH35" s="28">
        <f t="shared" si="0"/>
        <v>100</v>
      </c>
    </row>
    <row r="36" spans="1:34" ht="12">
      <c r="A36" s="75"/>
      <c r="B36" s="86"/>
      <c r="C36" s="14"/>
      <c r="D36" s="87"/>
      <c r="E36" s="14"/>
      <c r="F36" s="50"/>
      <c r="G36" s="50"/>
      <c r="H36" s="50"/>
      <c r="I36" s="51"/>
      <c r="Q36" s="70"/>
      <c r="R36" s="70"/>
      <c r="AA36" s="2">
        <f>AA34*2.7/1000</f>
        <v>2.801318276929429</v>
      </c>
      <c r="AB36" s="2" t="s">
        <v>89</v>
      </c>
      <c r="AC36" s="48"/>
      <c r="AF36" s="71">
        <f>D23</f>
        <v>100</v>
      </c>
      <c r="AG36" s="42">
        <v>-15</v>
      </c>
      <c r="AH36" s="28">
        <f t="shared" si="0"/>
        <v>100</v>
      </c>
    </row>
    <row r="37" spans="1:34" ht="12">
      <c r="A37" s="75"/>
      <c r="B37" s="86"/>
      <c r="C37" s="75"/>
      <c r="D37" s="37"/>
      <c r="E37" s="14"/>
      <c r="F37" s="50"/>
      <c r="G37" s="50"/>
      <c r="H37" s="50"/>
      <c r="I37" s="51"/>
      <c r="S37" s="48"/>
      <c r="T37" s="49"/>
      <c r="U37" s="49"/>
      <c r="V37" s="49"/>
      <c r="AA37" s="2">
        <f>AA34*1.1/1000</f>
        <v>1.1412778165268043</v>
      </c>
      <c r="AB37" s="2" t="s">
        <v>90</v>
      </c>
      <c r="AF37" s="71">
        <v>10</v>
      </c>
      <c r="AG37" s="42">
        <v>-15</v>
      </c>
      <c r="AH37" s="28">
        <f t="shared" si="0"/>
        <v>10</v>
      </c>
    </row>
    <row r="38" spans="1:34" ht="12">
      <c r="A38" s="48"/>
      <c r="B38" s="67"/>
      <c r="C38" s="48"/>
      <c r="D38" s="32"/>
      <c r="G38" s="2" t="s">
        <v>80</v>
      </c>
      <c r="H38" s="103">
        <v>0</v>
      </c>
      <c r="Q38" s="67"/>
      <c r="R38" s="67"/>
      <c r="S38" s="4"/>
      <c r="T38" s="49"/>
      <c r="U38" s="49"/>
      <c r="V38" s="49"/>
      <c r="AA38" s="2">
        <f>AA34*0.6/1000</f>
        <v>0.6225151726509841</v>
      </c>
      <c r="AB38" s="2" t="s">
        <v>91</v>
      </c>
      <c r="AF38" s="71">
        <v>10</v>
      </c>
      <c r="AG38" s="42">
        <v>15</v>
      </c>
      <c r="AH38" s="28">
        <f t="shared" si="0"/>
        <v>10</v>
      </c>
    </row>
    <row r="39" spans="1:32" ht="12">
      <c r="A39" s="48"/>
      <c r="B39" s="67"/>
      <c r="C39" s="48"/>
      <c r="D39" s="32"/>
      <c r="G39" s="2" t="s">
        <v>81</v>
      </c>
      <c r="Q39" s="67"/>
      <c r="R39" s="67"/>
      <c r="S39" s="4"/>
      <c r="T39" s="49"/>
      <c r="U39" s="49"/>
      <c r="V39" s="49"/>
      <c r="AF39" s="71"/>
    </row>
    <row r="40" spans="1:22" ht="12">
      <c r="A40" s="48"/>
      <c r="B40" s="67"/>
      <c r="C40" s="48"/>
      <c r="D40" s="32"/>
      <c r="Q40" s="67"/>
      <c r="R40" s="67"/>
      <c r="S40" s="4"/>
      <c r="T40" s="49"/>
      <c r="U40" s="49"/>
      <c r="V40" s="49"/>
    </row>
    <row r="41" spans="1:22" ht="12">
      <c r="A41" s="48"/>
      <c r="B41" s="67" t="s">
        <v>77</v>
      </c>
      <c r="C41" s="48"/>
      <c r="D41" s="32"/>
      <c r="Q41" s="67"/>
      <c r="R41" s="67"/>
      <c r="S41" s="4"/>
      <c r="T41" s="49"/>
      <c r="U41" s="49"/>
      <c r="V41" s="49"/>
    </row>
    <row r="42" spans="1:24" ht="12">
      <c r="A42" s="48"/>
      <c r="B42" s="67" t="s">
        <v>78</v>
      </c>
      <c r="C42" s="48"/>
      <c r="D42" s="32"/>
      <c r="P42" s="88"/>
      <c r="Q42" s="89"/>
      <c r="R42" s="89"/>
      <c r="S42" s="6"/>
      <c r="T42" s="90"/>
      <c r="U42" s="90"/>
      <c r="V42" s="90"/>
      <c r="W42" s="43"/>
      <c r="X42" s="43"/>
    </row>
    <row r="43" spans="2:24" ht="12">
      <c r="B43" s="2" t="s">
        <v>79</v>
      </c>
      <c r="J43" s="89"/>
      <c r="P43" s="88"/>
      <c r="Q43" s="89"/>
      <c r="R43" s="89"/>
      <c r="S43" s="6"/>
      <c r="T43" s="90"/>
      <c r="U43" s="90"/>
      <c r="V43" s="90"/>
      <c r="W43" s="43"/>
      <c r="X43" s="43"/>
    </row>
    <row r="44" spans="2:30" ht="12">
      <c r="B44" s="2" t="s">
        <v>82</v>
      </c>
      <c r="I44" s="101">
        <v>0.77</v>
      </c>
      <c r="J44" s="107"/>
      <c r="P44" s="88"/>
      <c r="Q44" s="89"/>
      <c r="R44" s="89"/>
      <c r="S44" s="6"/>
      <c r="T44" s="90"/>
      <c r="U44" s="90"/>
      <c r="V44" s="90"/>
      <c r="W44" s="43"/>
      <c r="X44" s="43"/>
      <c r="AC44" s="1" t="s">
        <v>3</v>
      </c>
      <c r="AD44" s="91">
        <f>O23</f>
        <v>100</v>
      </c>
    </row>
    <row r="45" spans="9:32" ht="12">
      <c r="I45" s="44">
        <v>0.8150684931506849</v>
      </c>
      <c r="J45" s="107"/>
      <c r="M45" s="46">
        <v>57.7</v>
      </c>
      <c r="N45" s="2">
        <v>70</v>
      </c>
      <c r="P45" s="88"/>
      <c r="Q45" s="89"/>
      <c r="R45" s="89"/>
      <c r="S45" s="6"/>
      <c r="T45" s="90"/>
      <c r="U45" s="90"/>
      <c r="V45" s="90"/>
      <c r="W45" s="43"/>
      <c r="X45" s="43"/>
      <c r="Z45" s="61" t="s">
        <v>32</v>
      </c>
      <c r="AA45" s="2" t="s">
        <v>42</v>
      </c>
      <c r="AC45" s="61" t="s">
        <v>33</v>
      </c>
      <c r="AD45" s="92">
        <f>F23</f>
        <v>26</v>
      </c>
      <c r="AE45" s="61" t="s">
        <v>17</v>
      </c>
      <c r="AF45" s="93">
        <f>L23</f>
        <v>0.8987942146417873</v>
      </c>
    </row>
    <row r="46" spans="9:32" ht="12">
      <c r="I46" s="44">
        <v>0.8904109589041095</v>
      </c>
      <c r="J46" s="107"/>
      <c r="M46" s="46">
        <v>46.2</v>
      </c>
      <c r="N46" s="2">
        <f>M46*N45/M45</f>
        <v>56.048526863084916</v>
      </c>
      <c r="P46" s="88"/>
      <c r="Q46" s="89"/>
      <c r="R46" s="89"/>
      <c r="S46" s="6"/>
      <c r="T46" s="90"/>
      <c r="U46" s="90"/>
      <c r="V46" s="90"/>
      <c r="W46" s="43"/>
      <c r="X46" s="43"/>
      <c r="AA46" s="2" t="s">
        <v>45</v>
      </c>
      <c r="AE46" s="61" t="s">
        <v>21</v>
      </c>
      <c r="AF46" s="94">
        <f>R23</f>
        <v>0.43837080163538794</v>
      </c>
    </row>
    <row r="47" spans="9:34" ht="12">
      <c r="I47" s="44">
        <v>0.9424657534246575</v>
      </c>
      <c r="J47" s="107"/>
      <c r="P47" s="88"/>
      <c r="Q47" s="89"/>
      <c r="R47" s="89"/>
      <c r="S47" s="6"/>
      <c r="T47" s="90"/>
      <c r="U47" s="90"/>
      <c r="V47" s="90"/>
      <c r="W47" s="43"/>
      <c r="X47" s="43"/>
      <c r="Y47" s="61" t="s">
        <v>34</v>
      </c>
      <c r="Z47" s="61" t="s">
        <v>35</v>
      </c>
      <c r="AA47" s="95">
        <f>M23</f>
        <v>131.7175578074106</v>
      </c>
      <c r="AB47" s="95">
        <f>P23</f>
        <v>25.1</v>
      </c>
      <c r="AC47" s="61"/>
      <c r="AD47" s="61"/>
      <c r="AE47" s="61" t="s">
        <v>36</v>
      </c>
      <c r="AF47" s="61" t="s">
        <v>37</v>
      </c>
      <c r="AG47" s="85" t="s">
        <v>38</v>
      </c>
      <c r="AH47" s="85" t="s">
        <v>39</v>
      </c>
    </row>
    <row r="48" spans="9:34" ht="12">
      <c r="I48" s="44">
        <v>0.9863013698630138</v>
      </c>
      <c r="J48" s="107"/>
      <c r="P48" s="88"/>
      <c r="Q48" s="89"/>
      <c r="R48" s="89"/>
      <c r="S48" s="6"/>
      <c r="T48" s="90"/>
      <c r="U48" s="90"/>
      <c r="V48" s="90"/>
      <c r="W48" s="43"/>
      <c r="X48" s="43"/>
      <c r="AA48" s="46"/>
      <c r="AB48" s="69">
        <v>0</v>
      </c>
      <c r="AE48" s="49">
        <f>AA48-(AA56+AA55)/2</f>
        <v>-59.27290101333477</v>
      </c>
      <c r="AF48" s="49">
        <f>AB48-AF54</f>
        <v>-12.55</v>
      </c>
      <c r="AG48" s="49">
        <f>AF45*AE48+AF46*AF48</f>
        <v>-58.775694076344735</v>
      </c>
      <c r="AH48" s="49">
        <f>AF45*AF48-AF46*AE48+2</f>
        <v>16.70364173871613</v>
      </c>
    </row>
    <row r="49" spans="9:34" ht="12">
      <c r="I49" s="44">
        <v>1.0095890410958903</v>
      </c>
      <c r="J49" s="107"/>
      <c r="P49" s="88"/>
      <c r="Q49" s="89"/>
      <c r="R49" s="89"/>
      <c r="S49" s="6"/>
      <c r="T49" s="90"/>
      <c r="U49" s="90"/>
      <c r="V49" s="90"/>
      <c r="W49" s="43"/>
      <c r="X49" s="43"/>
      <c r="Y49" s="2">
        <v>0</v>
      </c>
      <c r="Z49" s="48">
        <v>10</v>
      </c>
      <c r="AA49" s="69">
        <f>AA47*Y49/100</f>
        <v>0</v>
      </c>
      <c r="AB49" s="69">
        <f>AB47*Z49/100</f>
        <v>2.51</v>
      </c>
      <c r="AE49" s="49">
        <f>AA49-(AA56+AA55)/2</f>
        <v>-59.27290101333477</v>
      </c>
      <c r="AF49" s="49">
        <f>AB49-AF54</f>
        <v>-10.040000000000001</v>
      </c>
      <c r="AG49" s="49">
        <f>AF45*AE49+AF46*AF49</f>
        <v>-57.67538336423991</v>
      </c>
      <c r="AH49" s="49">
        <f>AF45*AF49-AF46*AE49+2</f>
        <v>18.95961521746701</v>
      </c>
    </row>
    <row r="50" spans="9:34" ht="12">
      <c r="I50" s="44">
        <v>1.0095890410958903</v>
      </c>
      <c r="J50" s="107"/>
      <c r="P50" s="88"/>
      <c r="Q50" s="89"/>
      <c r="R50" s="89"/>
      <c r="S50" s="6"/>
      <c r="T50" s="90"/>
      <c r="U50" s="90"/>
      <c r="V50" s="90"/>
      <c r="W50" s="43"/>
      <c r="X50" s="43"/>
      <c r="Y50" s="2">
        <v>2.5</v>
      </c>
      <c r="Z50" s="48">
        <v>41</v>
      </c>
      <c r="AA50" s="69">
        <f>AA47*Y50/100</f>
        <v>3.2929389451852646</v>
      </c>
      <c r="AB50" s="69">
        <f>AB47*Z50/100</f>
        <v>10.291000000000002</v>
      </c>
      <c r="AC50" s="4"/>
      <c r="AD50" s="4"/>
      <c r="AE50" s="49">
        <f>AA50-(AA56+AA55)/2</f>
        <v>-55.979962068149504</v>
      </c>
      <c r="AF50" s="49">
        <f>AB50-AF54</f>
        <v>-2.2589999999999986</v>
      </c>
      <c r="AG50" s="49">
        <f>AF45*AE50+AF46*AF50</f>
        <v>-51.304745683613824</v>
      </c>
      <c r="AH50" s="49">
        <f>AF45*AF50-AF46*AE50+2</f>
        <v>24.50960471645751</v>
      </c>
    </row>
    <row r="51" spans="9:34" ht="12">
      <c r="I51" s="44">
        <v>1</v>
      </c>
      <c r="J51" s="107"/>
      <c r="P51" s="88"/>
      <c r="Q51" s="89"/>
      <c r="R51" s="89"/>
      <c r="S51" s="6"/>
      <c r="T51" s="90"/>
      <c r="U51" s="90"/>
      <c r="V51" s="90"/>
      <c r="W51" s="43"/>
      <c r="X51" s="43"/>
      <c r="Y51" s="2">
        <v>5</v>
      </c>
      <c r="Z51" s="48">
        <v>59</v>
      </c>
      <c r="AA51" s="69">
        <f>AA47*Y51/100</f>
        <v>6.585877890370529</v>
      </c>
      <c r="AB51" s="69">
        <f>AB47*Z51/100</f>
        <v>14.809000000000001</v>
      </c>
      <c r="AC51" s="4"/>
      <c r="AD51" s="4"/>
      <c r="AE51" s="49">
        <f>AA51-(AA56+AA55)/2</f>
        <v>-52.687023122964234</v>
      </c>
      <c r="AF51" s="49">
        <f>AB51-AF54</f>
        <v>2.2590000000000003</v>
      </c>
      <c r="AG51" s="49">
        <f>AF45*AE51+AF46*AF51</f>
        <v>-46.364511928723985</v>
      </c>
      <c r="AH51" s="49">
        <f>AF45*AF51-AF46*AE51+2</f>
        <v>27.12682869307185</v>
      </c>
    </row>
    <row r="52" spans="9:34" ht="12">
      <c r="I52" s="44">
        <v>0.9726027397260274</v>
      </c>
      <c r="J52" s="107"/>
      <c r="P52" s="88"/>
      <c r="Q52" s="89"/>
      <c r="R52" s="89"/>
      <c r="S52" s="6"/>
      <c r="T52" s="90"/>
      <c r="U52" s="90"/>
      <c r="V52" s="90"/>
      <c r="W52" s="43"/>
      <c r="X52" s="43"/>
      <c r="Y52" s="2">
        <v>10</v>
      </c>
      <c r="Z52" s="48">
        <v>79</v>
      </c>
      <c r="AA52" s="69">
        <f>AA47*Y52/100</f>
        <v>13.171755780741059</v>
      </c>
      <c r="AB52" s="69">
        <f>AB47*Z52/100</f>
        <v>19.829</v>
      </c>
      <c r="AC52" s="4"/>
      <c r="AD52" s="4"/>
      <c r="AE52" s="49">
        <f>AA52-(AA56+AA55)/2</f>
        <v>-46.10114523259371</v>
      </c>
      <c r="AF52" s="49">
        <f>AB52-AF54</f>
        <v>7.279</v>
      </c>
      <c r="AG52" s="49">
        <f>AF45*AE52+AF46*AF52</f>
        <v>-38.24454155831205</v>
      </c>
      <c r="AH52" s="49">
        <f>AF45*AF52-AF46*AE52+2</f>
        <v>28.751719080299118</v>
      </c>
    </row>
    <row r="53" spans="9:34" ht="12">
      <c r="I53" s="44">
        <v>0.8904109589041095</v>
      </c>
      <c r="J53" s="107"/>
      <c r="P53" s="88"/>
      <c r="Q53" s="89"/>
      <c r="R53" s="89"/>
      <c r="S53" s="6"/>
      <c r="T53" s="90"/>
      <c r="U53" s="90"/>
      <c r="V53" s="90"/>
      <c r="W53" s="43"/>
      <c r="X53" s="43"/>
      <c r="Y53" s="2">
        <v>20</v>
      </c>
      <c r="Z53" s="48">
        <v>95</v>
      </c>
      <c r="AA53" s="69">
        <f>AA47*Y53/100</f>
        <v>26.343511561482117</v>
      </c>
      <c r="AB53" s="69">
        <f>AB47*Z53/100</f>
        <v>23.845</v>
      </c>
      <c r="AC53" s="4"/>
      <c r="AD53" s="4"/>
      <c r="AE53" s="49">
        <f>AA53-(AA56+AA55)/2</f>
        <v>-32.92938945185265</v>
      </c>
      <c r="AF53" s="49">
        <f>AB53-AF54</f>
        <v>11.294999999999998</v>
      </c>
      <c r="AG53" s="49">
        <f>AF45*AE53+AF46*AF53</f>
        <v>-24.645346526539754</v>
      </c>
      <c r="AH53" s="49">
        <f>AF45*AF53-AF46*AE53+2</f>
        <v>26.58716350575152</v>
      </c>
    </row>
    <row r="54" spans="9:34" ht="12">
      <c r="I54" s="44">
        <v>0.7534246575342465</v>
      </c>
      <c r="J54" s="107"/>
      <c r="P54" s="88"/>
      <c r="Q54" s="89"/>
      <c r="R54" s="89"/>
      <c r="S54" s="6"/>
      <c r="T54" s="90"/>
      <c r="U54" s="90"/>
      <c r="V54" s="90"/>
      <c r="W54" s="43"/>
      <c r="X54" s="43"/>
      <c r="Y54" s="2">
        <v>30</v>
      </c>
      <c r="Z54" s="48">
        <v>100</v>
      </c>
      <c r="AA54" s="69">
        <f>AA47*Y54/100</f>
        <v>39.515267342223176</v>
      </c>
      <c r="AB54" s="69">
        <f>AB47*Z54/100</f>
        <v>25.1</v>
      </c>
      <c r="AC54" s="4"/>
      <c r="AD54" s="4"/>
      <c r="AE54" s="49">
        <f>AA54-(AA56+AA55)/2</f>
        <v>-19.75763367111159</v>
      </c>
      <c r="AF54" s="49">
        <f>AB54/2</f>
        <v>12.55</v>
      </c>
      <c r="AG54" s="49">
        <f>AF45*AE54+AF46*AF54</f>
        <v>-12.256493278082758</v>
      </c>
      <c r="AH54" s="49">
        <f>AF45*AF54-AF46*AE54+2</f>
        <v>21.94103710457795</v>
      </c>
    </row>
    <row r="55" spans="10:34" ht="12">
      <c r="J55" s="89"/>
      <c r="P55" s="88"/>
      <c r="Q55" s="89"/>
      <c r="R55" s="89"/>
      <c r="S55" s="6"/>
      <c r="T55" s="90"/>
      <c r="U55" s="90"/>
      <c r="V55" s="90"/>
      <c r="W55" s="43"/>
      <c r="X55" s="43"/>
      <c r="Y55" s="2">
        <v>40</v>
      </c>
      <c r="Z55" s="48">
        <v>99</v>
      </c>
      <c r="AA55" s="69">
        <f>AA47*Y55/100</f>
        <v>52.687023122964234</v>
      </c>
      <c r="AB55" s="69">
        <f>AB47*Z55/100</f>
        <v>24.849</v>
      </c>
      <c r="AC55" s="4"/>
      <c r="AD55" s="4"/>
      <c r="AE55" s="49">
        <f>AA55-(AA56+AA55)/2</f>
        <v>-6.585877890370533</v>
      </c>
      <c r="AF55" s="49">
        <f>AB55-AF54</f>
        <v>12.299</v>
      </c>
      <c r="AG55" s="49">
        <f>AF45*AE55+AF46*AF55</f>
        <v>-0.5278264568886586</v>
      </c>
      <c r="AH55" s="49">
        <f>AF45*AF55-AF46*AE55+2</f>
        <v>15.94132661615385</v>
      </c>
    </row>
    <row r="56" spans="10:34" ht="12">
      <c r="J56" s="89"/>
      <c r="P56" s="88"/>
      <c r="Q56" s="89"/>
      <c r="R56" s="89"/>
      <c r="S56" s="6"/>
      <c r="T56" s="90"/>
      <c r="U56" s="90"/>
      <c r="V56" s="90"/>
      <c r="W56" s="43"/>
      <c r="X56" s="43"/>
      <c r="Y56" s="2">
        <v>50</v>
      </c>
      <c r="Z56" s="48">
        <v>95</v>
      </c>
      <c r="AA56" s="69">
        <f>AA47*Y56/100</f>
        <v>65.8587789037053</v>
      </c>
      <c r="AB56" s="69">
        <f>AB47*Z56/100</f>
        <v>23.845</v>
      </c>
      <c r="AC56" s="4"/>
      <c r="AD56" s="4"/>
      <c r="AE56" s="49">
        <f>AA56-(AA56+AA55)/2</f>
        <v>6.585877890370533</v>
      </c>
      <c r="AF56" s="49">
        <f>AB56-AF54</f>
        <v>11.294999999999998</v>
      </c>
      <c r="AG56" s="49">
        <f>AF45*AE56+AF46*AF56</f>
        <v>10.870747150674001</v>
      </c>
      <c r="AH56" s="49">
        <f>AF45*AF56-AF46*AE56+2</f>
        <v>9.264824084104479</v>
      </c>
    </row>
    <row r="57" spans="10:34" ht="12">
      <c r="J57" s="89"/>
      <c r="P57" s="88"/>
      <c r="Q57" s="89"/>
      <c r="R57" s="89"/>
      <c r="S57" s="6"/>
      <c r="T57" s="90"/>
      <c r="U57" s="90"/>
      <c r="V57" s="90"/>
      <c r="W57" s="43"/>
      <c r="X57" s="43"/>
      <c r="Y57" s="2">
        <v>60</v>
      </c>
      <c r="Z57" s="48">
        <v>87</v>
      </c>
      <c r="AA57" s="69">
        <f>AA47*Y57/100</f>
        <v>79.03053468444635</v>
      </c>
      <c r="AB57" s="69">
        <f>AB47*Z57/100</f>
        <v>21.837000000000003</v>
      </c>
      <c r="AC57" s="4"/>
      <c r="AD57" s="4"/>
      <c r="AE57" s="49">
        <f>AA57-(AA56+AA55)/2</f>
        <v>19.757633671111584</v>
      </c>
      <c r="AF57" s="49">
        <f>AB57-AF54</f>
        <v>9.287000000000003</v>
      </c>
      <c r="AG57" s="49">
        <f>AF45*AE57+AF46*AF57</f>
        <v>21.829196473394717</v>
      </c>
      <c r="AH57" s="49">
        <f>AF45*AF57-AF46*AE57+2</f>
        <v>1.6859321605547635</v>
      </c>
    </row>
    <row r="58" spans="10:34" ht="12">
      <c r="J58" s="89"/>
      <c r="P58" s="88"/>
      <c r="Q58" s="89"/>
      <c r="R58" s="89"/>
      <c r="S58" s="6"/>
      <c r="T58" s="90"/>
      <c r="U58" s="90"/>
      <c r="V58" s="90"/>
      <c r="W58" s="43"/>
      <c r="X58" s="43"/>
      <c r="Y58" s="2">
        <v>70</v>
      </c>
      <c r="Z58" s="48">
        <v>74</v>
      </c>
      <c r="AA58" s="69">
        <f>AA47*Y58/100</f>
        <v>92.20229046518742</v>
      </c>
      <c r="AB58" s="69">
        <f>AB47*Z58/100</f>
        <v>18.574</v>
      </c>
      <c r="AE58" s="49">
        <f>AA58-(AA56+AA55)/2</f>
        <v>32.92938945185265</v>
      </c>
      <c r="AF58" s="49">
        <f>AB58-AF54</f>
        <v>6.024000000000001</v>
      </c>
      <c r="AG58" s="49">
        <f>AF45*AE58+AF46*AF58</f>
        <v>32.237490440063034</v>
      </c>
      <c r="AH58" s="49">
        <f>AF45*AF58-AF46*AE58+2</f>
        <v>-7.020946502370407</v>
      </c>
    </row>
    <row r="59" spans="10:34" ht="12">
      <c r="J59" s="89"/>
      <c r="P59" s="88"/>
      <c r="Q59" s="89"/>
      <c r="R59" s="89"/>
      <c r="S59" s="6"/>
      <c r="T59" s="90"/>
      <c r="U59" s="90"/>
      <c r="V59" s="90"/>
      <c r="W59" s="43"/>
      <c r="X59" s="43"/>
      <c r="Y59" s="2">
        <v>80</v>
      </c>
      <c r="Z59" s="48">
        <v>56</v>
      </c>
      <c r="AA59" s="69">
        <f>AA47*Y59/100</f>
        <v>105.37404624592847</v>
      </c>
      <c r="AB59" s="69">
        <f>AB47*Z59/100</f>
        <v>14.056000000000001</v>
      </c>
      <c r="AD59" s="4"/>
      <c r="AE59" s="49">
        <f>AA59-(AA56+AA55)/2</f>
        <v>46.1011452325937</v>
      </c>
      <c r="AF59" s="49">
        <f>AB59-AF54</f>
        <v>1.5060000000000002</v>
      </c>
      <c r="AG59" s="49">
        <f>AF45*AE59+AF46*AF59</f>
        <v>42.09562905067893</v>
      </c>
      <c r="AH59" s="49">
        <f>AF45*AF59-AF46*AE59+2</f>
        <v>-16.85581190467101</v>
      </c>
    </row>
    <row r="60" spans="10:34" ht="12">
      <c r="J60" s="89"/>
      <c r="P60" s="88"/>
      <c r="Q60" s="89"/>
      <c r="R60" s="89"/>
      <c r="S60" s="6"/>
      <c r="T60" s="90"/>
      <c r="U60" s="90"/>
      <c r="V60" s="90"/>
      <c r="W60" s="43"/>
      <c r="X60" s="43"/>
      <c r="Y60" s="2">
        <v>90</v>
      </c>
      <c r="Z60" s="48">
        <v>35</v>
      </c>
      <c r="AA60" s="69">
        <f>AA47*Y60/100</f>
        <v>118.54580202666953</v>
      </c>
      <c r="AB60" s="69">
        <f>AB47*Z60/100</f>
        <v>8.785</v>
      </c>
      <c r="AE60" s="49">
        <f>AA60-(AA56+AA55)/2</f>
        <v>59.27290101333477</v>
      </c>
      <c r="AF60" s="49">
        <f>AB60-AF54</f>
        <v>-3.7650000000000006</v>
      </c>
      <c r="AG60" s="49">
        <f>AF45*AE60+AF46*AF60</f>
        <v>51.62367444766338</v>
      </c>
      <c r="AH60" s="49">
        <f>AF45*AF60-AF46*AE60+2</f>
        <v>-27.36746935059689</v>
      </c>
    </row>
    <row r="61" spans="10:34" ht="12">
      <c r="J61" s="89"/>
      <c r="P61" s="88"/>
      <c r="Q61" s="89"/>
      <c r="R61" s="89"/>
      <c r="S61" s="6"/>
      <c r="T61" s="90"/>
      <c r="U61" s="90"/>
      <c r="V61" s="90"/>
      <c r="W61" s="43"/>
      <c r="X61" s="43"/>
      <c r="Y61" s="2">
        <v>100</v>
      </c>
      <c r="Z61" s="48">
        <v>7</v>
      </c>
      <c r="AA61" s="69">
        <f>AA47*Y61/100</f>
        <v>131.7175578074106</v>
      </c>
      <c r="AB61" s="69">
        <f>AB47*Z61/100</f>
        <v>1.7570000000000001</v>
      </c>
      <c r="AE61" s="49">
        <f>AA61-(AA56+AA55)/2</f>
        <v>72.44465679407583</v>
      </c>
      <c r="AF61" s="49">
        <f>AB61-AF54</f>
        <v>-10.793000000000001</v>
      </c>
      <c r="AG61" s="49">
        <f>AF45*AE61+AF46*AF61</f>
        <v>60.38150234617446</v>
      </c>
      <c r="AH61" s="49">
        <f>AF45*AF61-AF46*AE61+2</f>
        <v>-39.45830823164839</v>
      </c>
    </row>
    <row r="62" spans="10:34" ht="12">
      <c r="J62" s="89"/>
      <c r="P62" s="88"/>
      <c r="Q62" s="89"/>
      <c r="R62" s="89"/>
      <c r="S62" s="6"/>
      <c r="T62" s="90"/>
      <c r="U62" s="90"/>
      <c r="V62" s="90"/>
      <c r="W62" s="43"/>
      <c r="X62" s="43"/>
      <c r="Y62" s="2">
        <v>100</v>
      </c>
      <c r="AA62" s="69">
        <f>AA47*Y62/100</f>
        <v>131.7175578074106</v>
      </c>
      <c r="AB62" s="69">
        <v>0</v>
      </c>
      <c r="AE62" s="49">
        <f>AA62-(AA56+AA55)/2</f>
        <v>72.44465679407583</v>
      </c>
      <c r="AF62" s="49">
        <f>AB62-AF54</f>
        <v>-12.55</v>
      </c>
      <c r="AG62" s="49">
        <f>AF45*AE62+AF46*AF62</f>
        <v>59.611284847701086</v>
      </c>
      <c r="AH62" s="49">
        <f>AF45*AF62-AF46*AE62+2</f>
        <v>-41.03748966677401</v>
      </c>
    </row>
    <row r="63" spans="10:34" ht="12">
      <c r="J63" s="89"/>
      <c r="P63" s="88"/>
      <c r="Q63" s="89"/>
      <c r="R63" s="89"/>
      <c r="S63" s="6"/>
      <c r="T63" s="90"/>
      <c r="U63" s="90"/>
      <c r="V63" s="90"/>
      <c r="W63" s="43"/>
      <c r="X63" s="43"/>
      <c r="AA63" s="69"/>
      <c r="AB63" s="69"/>
      <c r="AE63" s="49"/>
      <c r="AF63" s="49"/>
      <c r="AG63" s="49">
        <v>0</v>
      </c>
      <c r="AH63" s="49">
        <f>-AH55</f>
        <v>-15.94132661615385</v>
      </c>
    </row>
    <row r="64" spans="10:34" ht="12">
      <c r="J64" s="89"/>
      <c r="P64" s="88"/>
      <c r="Q64" s="89"/>
      <c r="R64" s="89"/>
      <c r="S64" s="6"/>
      <c r="T64" s="90"/>
      <c r="U64" s="90"/>
      <c r="V64" s="90"/>
      <c r="W64" s="43"/>
      <c r="X64" s="43"/>
      <c r="AA64" s="46"/>
      <c r="AB64" s="69"/>
      <c r="AE64" s="49">
        <f>AE48</f>
        <v>-59.27290101333477</v>
      </c>
      <c r="AF64" s="49">
        <f>AB48-AF54</f>
        <v>-12.55</v>
      </c>
      <c r="AG64" s="49">
        <f>AF45*AE64+AF46*AF64</f>
        <v>-58.775694076344735</v>
      </c>
      <c r="AH64" s="49">
        <f>AF45*AF64-AF46*AE64+2</f>
        <v>16.70364173871613</v>
      </c>
    </row>
    <row r="65" spans="10:34" ht="12">
      <c r="J65" s="89"/>
      <c r="P65" s="88"/>
      <c r="Q65" s="89"/>
      <c r="R65" s="89"/>
      <c r="S65" s="6"/>
      <c r="T65" s="90"/>
      <c r="U65" s="90"/>
      <c r="V65" s="90"/>
      <c r="W65" s="43"/>
      <c r="X65" s="43"/>
      <c r="AE65" s="42"/>
      <c r="AF65" s="49"/>
      <c r="AH65" s="49"/>
    </row>
    <row r="66" spans="10:24" ht="12">
      <c r="J66" s="89"/>
      <c r="P66" s="88"/>
      <c r="Q66" s="89"/>
      <c r="R66" s="89"/>
      <c r="S66" s="6"/>
      <c r="T66" s="90"/>
      <c r="U66" s="90"/>
      <c r="V66" s="90"/>
      <c r="W66" s="43"/>
      <c r="X66" s="43"/>
    </row>
    <row r="67" spans="10:24" ht="12">
      <c r="J67" s="89"/>
      <c r="P67" s="88"/>
      <c r="Q67" s="89"/>
      <c r="R67" s="89"/>
      <c r="S67" s="6"/>
      <c r="T67" s="90"/>
      <c r="U67" s="90"/>
      <c r="V67" s="90"/>
      <c r="W67" s="43"/>
      <c r="X67" s="43"/>
    </row>
    <row r="68" spans="10:24" ht="12">
      <c r="J68" s="89"/>
      <c r="P68" s="88"/>
      <c r="Q68" s="89"/>
      <c r="R68" s="89"/>
      <c r="S68" s="6"/>
      <c r="T68" s="90"/>
      <c r="U68" s="90"/>
      <c r="V68" s="90"/>
      <c r="W68" s="43"/>
      <c r="X68" s="43"/>
    </row>
    <row r="69" spans="16:24" ht="12">
      <c r="P69" s="88"/>
      <c r="Q69" s="89"/>
      <c r="R69" s="89"/>
      <c r="S69" s="6"/>
      <c r="T69" s="90"/>
      <c r="U69" s="90"/>
      <c r="V69" s="90"/>
      <c r="W69" s="43"/>
      <c r="X69" s="43"/>
    </row>
    <row r="70" spans="16:30" ht="12">
      <c r="P70" s="88"/>
      <c r="Q70" s="89"/>
      <c r="R70" s="89"/>
      <c r="S70" s="6"/>
      <c r="T70" s="90"/>
      <c r="U70" s="90"/>
      <c r="V70" s="90"/>
      <c r="W70" s="43"/>
      <c r="X70" s="43"/>
      <c r="AC70" s="1" t="s">
        <v>3</v>
      </c>
      <c r="AD70" s="91">
        <f>O24</f>
        <v>140</v>
      </c>
    </row>
    <row r="71" spans="16:32" ht="12">
      <c r="P71" s="88"/>
      <c r="Q71" s="96"/>
      <c r="R71" s="96"/>
      <c r="S71" s="97"/>
      <c r="T71" s="90"/>
      <c r="U71" s="90"/>
      <c r="V71" s="90"/>
      <c r="W71" s="43"/>
      <c r="X71" s="43"/>
      <c r="Z71" s="61" t="s">
        <v>32</v>
      </c>
      <c r="AA71" s="2" t="s">
        <v>42</v>
      </c>
      <c r="AC71" s="61" t="s">
        <v>33</v>
      </c>
      <c r="AD71" s="92">
        <f>F24</f>
        <v>23.862698918526245</v>
      </c>
      <c r="AE71" s="61" t="s">
        <v>17</v>
      </c>
      <c r="AF71" s="93">
        <f>L24</f>
        <v>0.9145176620362084</v>
      </c>
    </row>
    <row r="72" spans="16:32" ht="12">
      <c r="P72" s="88"/>
      <c r="Q72" s="96"/>
      <c r="R72" s="96"/>
      <c r="S72" s="96"/>
      <c r="T72" s="43"/>
      <c r="U72" s="43"/>
      <c r="V72" s="43"/>
      <c r="W72" s="43"/>
      <c r="X72" s="43"/>
      <c r="AA72" s="2" t="s">
        <v>45</v>
      </c>
      <c r="AE72" s="61" t="s">
        <v>21</v>
      </c>
      <c r="AF72" s="94">
        <f>R24</f>
        <v>0.4045459749198195</v>
      </c>
    </row>
    <row r="73" spans="16:34" ht="12">
      <c r="P73" s="88"/>
      <c r="Q73" s="96"/>
      <c r="R73" s="96"/>
      <c r="S73" s="98"/>
      <c r="T73" s="99"/>
      <c r="U73" s="99"/>
      <c r="V73" s="99"/>
      <c r="W73" s="99"/>
      <c r="X73" s="99"/>
      <c r="Y73" s="61" t="s">
        <v>34</v>
      </c>
      <c r="Z73" s="61" t="s">
        <v>35</v>
      </c>
      <c r="AA73" s="95">
        <f>M24</f>
        <v>137.0298622424641</v>
      </c>
      <c r="AB73" s="95">
        <f>P24</f>
        <v>24.2</v>
      </c>
      <c r="AC73" s="61"/>
      <c r="AD73" s="61"/>
      <c r="AE73" s="61" t="s">
        <v>36</v>
      </c>
      <c r="AF73" s="61" t="s">
        <v>37</v>
      </c>
      <c r="AG73" s="85" t="s">
        <v>38</v>
      </c>
      <c r="AH73" s="85" t="s">
        <v>39</v>
      </c>
    </row>
    <row r="74" spans="16:34" ht="12">
      <c r="P74" s="88"/>
      <c r="Q74" s="96"/>
      <c r="R74" s="96"/>
      <c r="S74" s="96"/>
      <c r="T74" s="43"/>
      <c r="U74" s="43"/>
      <c r="V74" s="43"/>
      <c r="W74" s="43"/>
      <c r="X74" s="43"/>
      <c r="AA74" s="46"/>
      <c r="AB74" s="69">
        <v>0</v>
      </c>
      <c r="AE74" s="49">
        <f>AA74-(AA82+AA81)/2</f>
        <v>-61.663438009108845</v>
      </c>
      <c r="AF74" s="49">
        <f>AB74-AF80</f>
        <v>-12.1</v>
      </c>
      <c r="AG74" s="49">
        <f>AF71*AE74+AF72*AF74</f>
        <v>-61.28730945773471</v>
      </c>
      <c r="AH74" s="49">
        <f>AF71*AF74-AF72*AE74</f>
        <v>13.880031935664666</v>
      </c>
    </row>
    <row r="75" spans="16:34" ht="12">
      <c r="P75" s="88"/>
      <c r="Q75" s="96"/>
      <c r="R75" s="96"/>
      <c r="S75" s="97"/>
      <c r="T75" s="90"/>
      <c r="U75" s="90"/>
      <c r="V75" s="90"/>
      <c r="W75" s="43"/>
      <c r="X75" s="43"/>
      <c r="Y75" s="2">
        <v>0</v>
      </c>
      <c r="Z75" s="48">
        <v>10</v>
      </c>
      <c r="AA75" s="69">
        <f>AA73*Y75/100</f>
        <v>0</v>
      </c>
      <c r="AB75" s="69">
        <f>AB73*Z75/100</f>
        <v>2.42</v>
      </c>
      <c r="AE75" s="49">
        <f>AA75-(AA82+AA81)/2</f>
        <v>-61.663438009108845</v>
      </c>
      <c r="AF75" s="49">
        <f>AB75-AF80</f>
        <v>-9.68</v>
      </c>
      <c r="AG75" s="49">
        <f>AF71*AE75+AF72*AF75</f>
        <v>-60.30830819842875</v>
      </c>
      <c r="AH75" s="49">
        <f>AF71*AF75-AF72*AE75</f>
        <v>16.093164677792288</v>
      </c>
    </row>
    <row r="76" spans="16:34" ht="12">
      <c r="P76" s="88"/>
      <c r="Q76" s="96"/>
      <c r="R76" s="96"/>
      <c r="S76" s="6"/>
      <c r="T76" s="90"/>
      <c r="U76" s="90"/>
      <c r="V76" s="90"/>
      <c r="W76" s="90"/>
      <c r="X76" s="90"/>
      <c r="Y76" s="2">
        <v>2.5</v>
      </c>
      <c r="Z76" s="48">
        <v>41</v>
      </c>
      <c r="AA76" s="69">
        <f>AA73*Y76/100</f>
        <v>3.4257465560616027</v>
      </c>
      <c r="AB76" s="69">
        <f>AB73*Z76/100</f>
        <v>9.921999999999999</v>
      </c>
      <c r="AC76" s="4"/>
      <c r="AD76" s="4"/>
      <c r="AE76" s="49">
        <f>AA76-(AA82+AA81)/2</f>
        <v>-58.23769145304724</v>
      </c>
      <c r="AF76" s="49">
        <f>AB76-AF80</f>
        <v>-2.178000000000001</v>
      </c>
      <c r="AG76" s="49">
        <f>AF71*AE76+AF72*AF76</f>
        <v>-54.14049856340221</v>
      </c>
      <c r="AH76" s="49">
        <f>AF71*AF76-AF72*AE76</f>
        <v>21.568004198037773</v>
      </c>
    </row>
    <row r="77" spans="16:34" ht="12">
      <c r="P77" s="88"/>
      <c r="Q77" s="96"/>
      <c r="R77" s="96"/>
      <c r="S77" s="6"/>
      <c r="T77" s="90"/>
      <c r="U77" s="90"/>
      <c r="V77" s="90"/>
      <c r="W77" s="43"/>
      <c r="X77" s="43"/>
      <c r="Y77" s="2">
        <v>5</v>
      </c>
      <c r="Z77" s="48">
        <v>59</v>
      </c>
      <c r="AA77" s="69">
        <f>AA73*Y77/100</f>
        <v>6.851493112123205</v>
      </c>
      <c r="AB77" s="69">
        <f>AB73*Z77/100</f>
        <v>14.277999999999999</v>
      </c>
      <c r="AC77" s="4"/>
      <c r="AD77" s="4"/>
      <c r="AE77" s="49">
        <f>AA77-(AA82+AA81)/2</f>
        <v>-54.811944896985636</v>
      </c>
      <c r="AF77" s="49">
        <f>AB77-AF80</f>
        <v>2.177999999999999</v>
      </c>
      <c r="AG77" s="49">
        <f>AF71*AE77+AF72*AF77</f>
        <v>-49.24539056547342</v>
      </c>
      <c r="AH77" s="49">
        <f>AF71*AF77-AF72*AE77</f>
        <v>24.16577115351734</v>
      </c>
    </row>
    <row r="78" spans="16:34" ht="12">
      <c r="P78" s="88"/>
      <c r="Q78" s="96"/>
      <c r="R78" s="96"/>
      <c r="S78" s="6"/>
      <c r="T78" s="90"/>
      <c r="U78" s="90"/>
      <c r="V78" s="90"/>
      <c r="W78" s="43"/>
      <c r="X78" s="43"/>
      <c r="Y78" s="2">
        <v>10</v>
      </c>
      <c r="Z78" s="48">
        <v>79</v>
      </c>
      <c r="AA78" s="69">
        <f>AA73*Y78/100</f>
        <v>13.70298622424641</v>
      </c>
      <c r="AB78" s="69">
        <f>AB73*Z78/100</f>
        <v>19.118</v>
      </c>
      <c r="AC78" s="4"/>
      <c r="AD78" s="4"/>
      <c r="AE78" s="49">
        <f>AA78-(AA82+AA81)/2</f>
        <v>-47.960451784862435</v>
      </c>
      <c r="AF78" s="49">
        <f>AB78-AF80</f>
        <v>7.017999999999999</v>
      </c>
      <c r="AG78" s="49">
        <f>AF71*AE78+AF72*AF78</f>
        <v>-41.021576584505404</v>
      </c>
      <c r="AH78" s="49">
        <f>AF71*AF78-AF72*AE78</f>
        <v>25.82029267707228</v>
      </c>
    </row>
    <row r="79" spans="16:34" ht="12">
      <c r="P79" s="88"/>
      <c r="Q79" s="96"/>
      <c r="R79" s="96"/>
      <c r="S79" s="6"/>
      <c r="T79" s="90"/>
      <c r="U79" s="90"/>
      <c r="V79" s="90"/>
      <c r="W79" s="43"/>
      <c r="X79" s="43"/>
      <c r="Y79" s="2">
        <v>20</v>
      </c>
      <c r="Z79" s="48">
        <v>95</v>
      </c>
      <c r="AA79" s="69">
        <f>AA73*Y79/100</f>
        <v>27.40597244849282</v>
      </c>
      <c r="AB79" s="69">
        <f>AB73*Z79/100</f>
        <v>22.99</v>
      </c>
      <c r="AC79" s="4"/>
      <c r="AD79" s="4"/>
      <c r="AE79" s="49">
        <f>AA79-(AA82+AA81)/2</f>
        <v>-34.257465560616026</v>
      </c>
      <c r="AF79" s="49">
        <f>AB79-AF80</f>
        <v>10.889999999999999</v>
      </c>
      <c r="AG79" s="49">
        <f>AF71*AE79+AF72*AF79</f>
        <v>-26.92355164490366</v>
      </c>
      <c r="AH79" s="49">
        <f>AF71*AF79-AF72*AE79</f>
        <v>23.817817143075857</v>
      </c>
    </row>
    <row r="80" spans="16:34" ht="12">
      <c r="P80" s="88"/>
      <c r="Q80" s="96"/>
      <c r="R80" s="96"/>
      <c r="S80" s="6"/>
      <c r="T80" s="90"/>
      <c r="U80" s="90"/>
      <c r="V80" s="90"/>
      <c r="W80" s="43"/>
      <c r="X80" s="43"/>
      <c r="Y80" s="2">
        <v>30</v>
      </c>
      <c r="Z80" s="48">
        <v>100</v>
      </c>
      <c r="AA80" s="69">
        <f>AA73*Y80/100</f>
        <v>41.10895867273923</v>
      </c>
      <c r="AB80" s="69">
        <f>AB73*Z80/100</f>
        <v>24.2</v>
      </c>
      <c r="AC80" s="4"/>
      <c r="AD80" s="4"/>
      <c r="AE80" s="49">
        <f>AA80-(AA82+AA81)/2</f>
        <v>-20.554479336369617</v>
      </c>
      <c r="AF80" s="49">
        <f>AB80/2</f>
        <v>12.1</v>
      </c>
      <c r="AG80" s="49">
        <f>AF71*AE80+AF72*AF80</f>
        <v>-13.902428090538486</v>
      </c>
      <c r="AH80" s="49">
        <f>AF71*AF80-AF72*AE80</f>
        <v>19.38089559273905</v>
      </c>
    </row>
    <row r="81" spans="16:34" ht="12">
      <c r="P81" s="88"/>
      <c r="Q81" s="96"/>
      <c r="R81" s="96"/>
      <c r="S81" s="6"/>
      <c r="T81" s="90"/>
      <c r="U81" s="90"/>
      <c r="V81" s="90"/>
      <c r="W81" s="43"/>
      <c r="X81" s="43"/>
      <c r="Y81" s="2">
        <v>40</v>
      </c>
      <c r="Z81" s="48">
        <v>99</v>
      </c>
      <c r="AA81" s="69">
        <f>AA73*Y81/100</f>
        <v>54.81194489698564</v>
      </c>
      <c r="AB81" s="69">
        <f>AB73*Z81/100</f>
        <v>23.958</v>
      </c>
      <c r="AC81" s="4"/>
      <c r="AD81" s="4"/>
      <c r="AE81" s="49">
        <f>AA81-(AA82+AA81)/2</f>
        <v>-6.851493112123201</v>
      </c>
      <c r="AF81" s="49">
        <f>AB81-AF80</f>
        <v>11.857999999999999</v>
      </c>
      <c r="AG81" s="49">
        <f>AF71*AE81+AF72*AF81</f>
        <v>-1.4687052917568773</v>
      </c>
      <c r="AH81" s="49">
        <f>AF71*AF81-AF72*AE81</f>
        <v>13.616094397125668</v>
      </c>
    </row>
    <row r="82" spans="16:34" ht="12">
      <c r="P82" s="88"/>
      <c r="Q82" s="96"/>
      <c r="R82" s="96"/>
      <c r="S82" s="6"/>
      <c r="T82" s="90"/>
      <c r="U82" s="90"/>
      <c r="V82" s="90"/>
      <c r="W82" s="43"/>
      <c r="X82" s="43"/>
      <c r="Y82" s="2">
        <v>50</v>
      </c>
      <c r="Z82" s="48">
        <v>95</v>
      </c>
      <c r="AA82" s="69">
        <f>AA73*Y82/100</f>
        <v>68.51493112123205</v>
      </c>
      <c r="AB82" s="69">
        <f>AB73*Z82/100</f>
        <v>22.99</v>
      </c>
      <c r="AC82" s="4"/>
      <c r="AD82" s="4"/>
      <c r="AE82" s="49">
        <f>AA82-(AA82+AA81)/2</f>
        <v>6.851493112123208</v>
      </c>
      <c r="AF82" s="49">
        <f>AB82-AF80</f>
        <v>10.889999999999999</v>
      </c>
      <c r="AG82" s="49">
        <f>AF71*AE82+AF72*AF82</f>
        <v>10.671317129232936</v>
      </c>
      <c r="AH82" s="49">
        <f>AF71*AF82-AF72*AE82</f>
        <v>7.187353378873997</v>
      </c>
    </row>
    <row r="83" spans="16:34" ht="12">
      <c r="P83" s="88"/>
      <c r="Q83" s="96"/>
      <c r="R83" s="96"/>
      <c r="S83" s="6"/>
      <c r="T83" s="90"/>
      <c r="U83" s="90"/>
      <c r="V83" s="90"/>
      <c r="W83" s="43"/>
      <c r="X83" s="43"/>
      <c r="Y83" s="2">
        <v>60</v>
      </c>
      <c r="Z83" s="48">
        <v>87</v>
      </c>
      <c r="AA83" s="69">
        <f>AA73*Y83/100</f>
        <v>82.21791734547845</v>
      </c>
      <c r="AB83" s="69">
        <f>AB73*Z83/100</f>
        <v>21.054000000000002</v>
      </c>
      <c r="AC83" s="4"/>
      <c r="AD83" s="4"/>
      <c r="AE83" s="49">
        <f>AA83-(AA82+AA81)/2</f>
        <v>20.55447933636961</v>
      </c>
      <c r="AF83" s="49">
        <f>AB83-AF80</f>
        <v>8.954000000000002</v>
      </c>
      <c r="AG83" s="49">
        <f>AF71*AE83+AF72*AF83</f>
        <v>22.419739046500357</v>
      </c>
      <c r="AH83" s="49">
        <f>AF71*AF83-AF72*AE83</f>
        <v>-0.1266407362287154</v>
      </c>
    </row>
    <row r="84" spans="16:34" ht="12">
      <c r="P84" s="88"/>
      <c r="Q84" s="96"/>
      <c r="R84" s="96"/>
      <c r="S84" s="97"/>
      <c r="T84" s="90"/>
      <c r="U84" s="90"/>
      <c r="V84" s="90"/>
      <c r="W84" s="43"/>
      <c r="X84" s="43"/>
      <c r="Y84" s="2">
        <v>70</v>
      </c>
      <c r="Z84" s="48">
        <v>74</v>
      </c>
      <c r="AA84" s="69">
        <f>AA73*Y84/100</f>
        <v>95.92090356972487</v>
      </c>
      <c r="AB84" s="69">
        <f>AB73*Z84/100</f>
        <v>17.908</v>
      </c>
      <c r="AE84" s="49">
        <f>AA84-(AA82+AA81)/2</f>
        <v>34.257465560616026</v>
      </c>
      <c r="AF84" s="49">
        <f>AB84-AF80</f>
        <v>5.808000000000002</v>
      </c>
      <c r="AG84" s="49">
        <f>AF71*AE84+AF72*AF84</f>
        <v>33.67866033411481</v>
      </c>
      <c r="AH84" s="49">
        <f>AF71*AF84-AF72*AE84</f>
        <v>-8.54720122239525</v>
      </c>
    </row>
    <row r="85" spans="19:34" ht="12">
      <c r="S85" s="48"/>
      <c r="T85" s="49"/>
      <c r="U85" s="49"/>
      <c r="V85" s="49"/>
      <c r="Y85" s="2">
        <v>80</v>
      </c>
      <c r="Z85" s="48">
        <v>56</v>
      </c>
      <c r="AA85" s="69">
        <f>AA73*Y85/100</f>
        <v>109.62388979397129</v>
      </c>
      <c r="AB85" s="69">
        <f>AB73*Z85/100</f>
        <v>13.552</v>
      </c>
      <c r="AD85" s="4"/>
      <c r="AE85" s="49">
        <f>AA85-(AA82+AA81)/2</f>
        <v>47.96045178486244</v>
      </c>
      <c r="AF85" s="49">
        <f>AB85-AF80</f>
        <v>1.452</v>
      </c>
      <c r="AG85" s="49">
        <f>AF71*AE85+AF72*AF85</f>
        <v>44.44808099207628</v>
      </c>
      <c r="AH85" s="49">
        <f>AF71*AF85-AF72*AE85</f>
        <v>-18.074328079625598</v>
      </c>
    </row>
    <row r="86" spans="25:34" ht="12">
      <c r="Y86" s="2">
        <v>90</v>
      </c>
      <c r="Z86" s="48">
        <v>35</v>
      </c>
      <c r="AA86" s="69">
        <f>AA73*Y86/100</f>
        <v>123.3268760182177</v>
      </c>
      <c r="AB86" s="69">
        <f>AB73*Z86/100</f>
        <v>8.47</v>
      </c>
      <c r="AE86" s="49">
        <f>AA86-(AA82+AA81)/2</f>
        <v>61.66343800910886</v>
      </c>
      <c r="AF86" s="49">
        <f>AB86-AF80</f>
        <v>-3.629999999999999</v>
      </c>
      <c r="AG86" s="49">
        <f>AF71*AE86+AF72*AF86</f>
        <v>54.92380127224596</v>
      </c>
      <c r="AH86" s="49">
        <f>AF71*AF86-AF72*AE86</f>
        <v>-28.26539475949423</v>
      </c>
    </row>
    <row r="87" spans="25:34" ht="12">
      <c r="Y87" s="2">
        <v>100</v>
      </c>
      <c r="Z87" s="48">
        <v>7</v>
      </c>
      <c r="AA87" s="69">
        <f>AA73*Y87/100</f>
        <v>137.0298622424641</v>
      </c>
      <c r="AB87" s="69">
        <f>AB73*Z87/100</f>
        <v>1.694</v>
      </c>
      <c r="AE87" s="49">
        <f>AA87-(AA82+AA81)/2</f>
        <v>75.36642423335526</v>
      </c>
      <c r="AF87" s="49">
        <f>AB87-AF80</f>
        <v>-10.405999999999999</v>
      </c>
      <c r="AG87" s="49">
        <f>AF71*AE87+AF72*AF87</f>
        <v>64.71422067090145</v>
      </c>
      <c r="AH87" s="49">
        <f>AF71*AF87-AF72*AE87</f>
        <v>-40.0056543588522</v>
      </c>
    </row>
    <row r="88" spans="25:34" ht="12">
      <c r="Y88" s="2">
        <v>100</v>
      </c>
      <c r="AA88" s="69">
        <f>AA73*Y88/100</f>
        <v>137.0298622424641</v>
      </c>
      <c r="AB88" s="69">
        <v>0</v>
      </c>
      <c r="AE88" s="49">
        <f>AA88-(AA82+AA81)/2</f>
        <v>75.36642423335526</v>
      </c>
      <c r="AF88" s="49">
        <f>AB88-AF80</f>
        <v>-12.1</v>
      </c>
      <c r="AG88" s="49">
        <f>AF71*AE88+AF72*AF88</f>
        <v>64.02891978938729</v>
      </c>
      <c r="AH88" s="49">
        <f>AF71*AF88-AF72*AE88</f>
        <v>-41.55484727834153</v>
      </c>
    </row>
    <row r="89" spans="27:34" ht="12">
      <c r="AA89" s="46"/>
      <c r="AB89" s="69"/>
      <c r="AE89" s="49">
        <f>AE74</f>
        <v>-61.663438009108845</v>
      </c>
      <c r="AF89" s="49">
        <f>AB74-AF80</f>
        <v>-12.1</v>
      </c>
      <c r="AG89" s="49">
        <f>AF71*AE89+AF72*AF89</f>
        <v>-61.28730945773471</v>
      </c>
      <c r="AH89" s="49">
        <f>AF71*AF89-AF72*AE89</f>
        <v>13.880031935664666</v>
      </c>
    </row>
    <row r="90" spans="31:34" ht="12">
      <c r="AE90" s="42"/>
      <c r="AF90" s="49"/>
      <c r="AH90" s="49"/>
    </row>
    <row r="98" spans="29:30" ht="12">
      <c r="AC98" s="1" t="s">
        <v>3</v>
      </c>
      <c r="AD98" s="91">
        <f>O25</f>
        <v>210</v>
      </c>
    </row>
    <row r="99" spans="26:32" ht="12">
      <c r="Z99" s="2" t="s">
        <v>32</v>
      </c>
      <c r="AA99" s="2" t="s">
        <v>42</v>
      </c>
      <c r="AC99" s="2" t="s">
        <v>33</v>
      </c>
      <c r="AD99" s="100">
        <f>F25</f>
        <v>18.692447486178892</v>
      </c>
      <c r="AE99" s="2" t="s">
        <v>17</v>
      </c>
      <c r="AF99" s="45">
        <f>L25</f>
        <v>0.9472526199958332</v>
      </c>
    </row>
    <row r="100" spans="27:32" ht="12">
      <c r="AA100" s="2" t="s">
        <v>45</v>
      </c>
      <c r="AE100" s="2" t="s">
        <v>21</v>
      </c>
      <c r="AF100" s="84">
        <f>R25</f>
        <v>0.32048786858636247</v>
      </c>
    </row>
    <row r="101" spans="25:34" ht="12">
      <c r="Y101" s="2" t="s">
        <v>34</v>
      </c>
      <c r="Z101" s="2" t="s">
        <v>35</v>
      </c>
      <c r="AA101" s="4">
        <f>M25</f>
        <v>144.52330822944327</v>
      </c>
      <c r="AB101" s="2">
        <f>P25</f>
        <v>22.2</v>
      </c>
      <c r="AE101" s="2" t="s">
        <v>36</v>
      </c>
      <c r="AF101" s="2" t="s">
        <v>37</v>
      </c>
      <c r="AG101" s="42" t="s">
        <v>38</v>
      </c>
      <c r="AH101" s="42" t="s">
        <v>39</v>
      </c>
    </row>
    <row r="102" spans="28:34" ht="12">
      <c r="AB102" s="2">
        <v>0</v>
      </c>
      <c r="AE102" s="2">
        <f>AA102-(AA110+AA109)/2</f>
        <v>-65.03548870324947</v>
      </c>
      <c r="AF102" s="2">
        <f>AB102-AF108</f>
        <v>-11.1</v>
      </c>
      <c r="AG102" s="42">
        <f>AF99*AE102+AF100*AF102</f>
        <v>-65.16245240817109</v>
      </c>
      <c r="AH102" s="42">
        <f>AF99*AF102-AF100*AE102</f>
        <v>10.328581075023127</v>
      </c>
    </row>
    <row r="103" spans="25:34" ht="12">
      <c r="Y103" s="2">
        <v>0</v>
      </c>
      <c r="Z103" s="2">
        <v>10</v>
      </c>
      <c r="AA103" s="2">
        <f>AA101*Y103/100</f>
        <v>0</v>
      </c>
      <c r="AB103" s="2">
        <f>AB101*Z103/100</f>
        <v>2.22</v>
      </c>
      <c r="AE103" s="2">
        <f>AA103-(AA110+AA109)/2</f>
        <v>-65.03548870324947</v>
      </c>
      <c r="AF103" s="2">
        <f>AB103-AF108</f>
        <v>-8.879999999999999</v>
      </c>
      <c r="AG103" s="42">
        <f>AF99*AE103+AF100*AF103</f>
        <v>-64.45096933990936</v>
      </c>
      <c r="AH103" s="42">
        <f>AF99*AF103-AF100*AE103</f>
        <v>12.431481891413878</v>
      </c>
    </row>
    <row r="104" spans="25:34" ht="12">
      <c r="Y104" s="2">
        <v>2.5</v>
      </c>
      <c r="Z104" s="2">
        <v>41</v>
      </c>
      <c r="AA104" s="2">
        <f>AA101*Y104/100</f>
        <v>3.613082705736082</v>
      </c>
      <c r="AB104" s="2">
        <f>AB101*Z104/100</f>
        <v>9.101999999999999</v>
      </c>
      <c r="AE104" s="2">
        <f>AA104-(AA110+AA109)/2</f>
        <v>-61.42240599751339</v>
      </c>
      <c r="AF104" s="2">
        <f>AB104-AF108</f>
        <v>-1.998000000000001</v>
      </c>
      <c r="AG104" s="42">
        <f>AF99*AE104+AF100*AF104</f>
        <v>-58.82286976902789</v>
      </c>
      <c r="AH104" s="42">
        <f>AF99*AF104-AF100*AE104</f>
        <v>17.7925252468376</v>
      </c>
    </row>
    <row r="105" spans="25:34" ht="12">
      <c r="Y105" s="2">
        <v>5</v>
      </c>
      <c r="Z105" s="2">
        <v>59</v>
      </c>
      <c r="AA105" s="2">
        <f>AA101*Y105/100</f>
        <v>7.226165411472164</v>
      </c>
      <c r="AB105" s="2">
        <f>AB101*Z105/100</f>
        <v>13.097999999999999</v>
      </c>
      <c r="AE105" s="2">
        <f>AA105-(AA110+AA109)/2</f>
        <v>-57.809323291777304</v>
      </c>
      <c r="AF105" s="2">
        <f>AB105-AF108</f>
        <v>1.9979999999999993</v>
      </c>
      <c r="AG105" s="42">
        <f>AF99*AE105+AF100*AF105</f>
        <v>-54.119698186886644</v>
      </c>
      <c r="AH105" s="42">
        <f>AF99*AF105-AF100*AE105</f>
        <v>20.41979754095334</v>
      </c>
    </row>
    <row r="106" spans="25:34" ht="12">
      <c r="Y106" s="2">
        <v>10</v>
      </c>
      <c r="Z106" s="2">
        <v>79</v>
      </c>
      <c r="AA106" s="2">
        <f>AA101*Y106/100</f>
        <v>14.452330822944328</v>
      </c>
      <c r="AB106" s="2">
        <f>AB101*Z106/100</f>
        <v>17.538</v>
      </c>
      <c r="AE106" s="2">
        <f>AA106-(AA110+AA109)/2</f>
        <v>-50.583157880305144</v>
      </c>
      <c r="AF106" s="2">
        <f>AB106-AF108</f>
        <v>6.438000000000001</v>
      </c>
      <c r="AG106" s="42">
        <f>AF99*AE106+AF100*AF106</f>
        <v>-45.85172793182292</v>
      </c>
      <c r="AH106" s="42">
        <f>AF99*AF106-AF100*AE106</f>
        <v>22.309700822959634</v>
      </c>
    </row>
    <row r="107" spans="25:34" ht="12">
      <c r="Y107" s="2">
        <v>20</v>
      </c>
      <c r="Z107" s="2">
        <v>95</v>
      </c>
      <c r="AA107" s="2">
        <f>AA101*Y107/100</f>
        <v>28.904661645888655</v>
      </c>
      <c r="AB107" s="2">
        <f>AB101*Z107/100</f>
        <v>21.09</v>
      </c>
      <c r="AE107" s="2">
        <f>AA107-(AA110+AA109)/2</f>
        <v>-36.13082705736082</v>
      </c>
      <c r="AF107" s="2">
        <f>AB107-AF108</f>
        <v>9.99</v>
      </c>
      <c r="AG107" s="42">
        <f>AF99*AE107+AF100*AF107</f>
        <v>-31.023346785523614</v>
      </c>
      <c r="AH107" s="42">
        <f>AF99*AF107-AF100*AE107</f>
        <v>21.042545427634415</v>
      </c>
    </row>
    <row r="108" spans="25:34" ht="12">
      <c r="Y108" s="2">
        <v>30</v>
      </c>
      <c r="Z108" s="2">
        <v>100</v>
      </c>
      <c r="AA108" s="2">
        <f>AA101*Y108/100</f>
        <v>43.35699246883298</v>
      </c>
      <c r="AB108" s="2">
        <f>AB101*Z108/100</f>
        <v>22.2</v>
      </c>
      <c r="AE108" s="2">
        <f>AA108-(AA110+AA109)/2</f>
        <v>-21.678496234416492</v>
      </c>
      <c r="AF108" s="2">
        <f>AB108/2</f>
        <v>11.1</v>
      </c>
      <c r="AG108" s="42">
        <f>AF99*AE108+AF100*AF108</f>
        <v>-16.977597014312202</v>
      </c>
      <c r="AH108" s="42">
        <f>AF99*AF108-AF100*AE108</f>
        <v>17.462199134279373</v>
      </c>
    </row>
    <row r="109" spans="25:34" ht="12">
      <c r="Y109" s="2">
        <v>40</v>
      </c>
      <c r="Z109" s="2">
        <v>99</v>
      </c>
      <c r="AA109" s="2">
        <f>AA101*Y109/100</f>
        <v>57.80932329177731</v>
      </c>
      <c r="AB109" s="2">
        <f>AB101*Z109/100</f>
        <v>21.977999999999998</v>
      </c>
      <c r="AE109" s="2">
        <f>AA109-(AA110+AA109)/2</f>
        <v>-7.226165411472159</v>
      </c>
      <c r="AF109" s="2">
        <f>AB109-AF108</f>
        <v>10.877999999999998</v>
      </c>
      <c r="AG109" s="42">
        <f>AF99*AE109+AF100*AF109</f>
        <v>-3.358737084057821</v>
      </c>
      <c r="AH109" s="42">
        <f>AF99*AF109-AF100*AE109</f>
        <v>12.62011235108988</v>
      </c>
    </row>
    <row r="110" spans="25:34" ht="12">
      <c r="Y110" s="2">
        <v>50</v>
      </c>
      <c r="Z110" s="2">
        <v>95</v>
      </c>
      <c r="AA110" s="2">
        <f>AA101*Y110/100</f>
        <v>72.26165411472164</v>
      </c>
      <c r="AB110" s="2">
        <f>AB101*Z110/100</f>
        <v>21.09</v>
      </c>
      <c r="AE110" s="2">
        <f>AA110-(AA110+AA109)/2</f>
        <v>7.2261654114721665</v>
      </c>
      <c r="AF110" s="2">
        <f>AB110-AF108</f>
        <v>9.99</v>
      </c>
      <c r="AG110" s="42">
        <f>AF99*AE110+AF100*AF110</f>
        <v>10.046677925718038</v>
      </c>
      <c r="AH110" s="42">
        <f>AF99*AF110-AF100*AE110</f>
        <v>7.147155322983164</v>
      </c>
    </row>
    <row r="111" spans="25:34" ht="12">
      <c r="Y111" s="2">
        <v>60</v>
      </c>
      <c r="Z111" s="2">
        <v>87</v>
      </c>
      <c r="AA111" s="2">
        <f>AA101*Y111/100</f>
        <v>86.71398493766596</v>
      </c>
      <c r="AB111" s="2">
        <f>AB101*Z111/100</f>
        <v>19.314</v>
      </c>
      <c r="AE111" s="2">
        <f>AA111-(AA110+AA109)/2</f>
        <v>21.678496234416485</v>
      </c>
      <c r="AF111" s="2">
        <f>AB111-AF108</f>
        <v>8.214</v>
      </c>
      <c r="AG111" s="42">
        <f>AF99*AE111+AF100*AF111</f>
        <v>23.167499708189204</v>
      </c>
      <c r="AH111" s="42">
        <f>AF99*AF111-AF100*AE111</f>
        <v>0.8330379683201503</v>
      </c>
    </row>
    <row r="112" spans="25:34" ht="12">
      <c r="Y112" s="2">
        <v>70</v>
      </c>
      <c r="Z112" s="2">
        <v>74</v>
      </c>
      <c r="AA112" s="2">
        <f>AA101*Y112/100</f>
        <v>101.16631576061029</v>
      </c>
      <c r="AB112" s="2">
        <f>AB101*Z112/100</f>
        <v>16.428</v>
      </c>
      <c r="AE112" s="2">
        <f>AA112-(AA110+AA109)/2</f>
        <v>36.13082705736082</v>
      </c>
      <c r="AF112" s="2">
        <f>AB112-AF108</f>
        <v>5.328000000000001</v>
      </c>
      <c r="AG112" s="42">
        <f>AF99*AE112+AF100*AF112</f>
        <v>35.932579956529516</v>
      </c>
      <c r="AH112" s="42">
        <f>AF99*AF112-AF100*AE112</f>
        <v>-6.532529794538243</v>
      </c>
    </row>
    <row r="113" spans="25:34" ht="12">
      <c r="Y113" s="2">
        <v>80</v>
      </c>
      <c r="Z113" s="2">
        <v>56</v>
      </c>
      <c r="AA113" s="2">
        <f>AA101*Y113/100</f>
        <v>115.61864658355462</v>
      </c>
      <c r="AB113" s="2">
        <f>AB101*Z113/100</f>
        <v>12.432</v>
      </c>
      <c r="AE113" s="2">
        <f>AA113-(AA110+AA109)/2</f>
        <v>50.58315788030515</v>
      </c>
      <c r="AF113" s="2">
        <f>AB113-AF108</f>
        <v>1.3320000000000007</v>
      </c>
      <c r="AG113" s="42">
        <f>AF99*AE113+AF100*AF113</f>
        <v>48.34191867073897</v>
      </c>
      <c r="AH113" s="42">
        <f>AF99*AF113-AF100*AE113</f>
        <v>-14.949547965592012</v>
      </c>
    </row>
    <row r="114" spans="25:34" ht="12">
      <c r="Y114" s="2">
        <v>90</v>
      </c>
      <c r="Z114" s="2">
        <v>35</v>
      </c>
      <c r="AA114" s="2">
        <f>AA101*Y114/100</f>
        <v>130.07097740649894</v>
      </c>
      <c r="AB114" s="2">
        <f>AB101*Z114/100</f>
        <v>7.77</v>
      </c>
      <c r="AE114" s="2">
        <f>AA114-(AA110+AA109)/2</f>
        <v>65.03548870324947</v>
      </c>
      <c r="AF114" s="2">
        <f>AB114-AF108</f>
        <v>-3.33</v>
      </c>
      <c r="AG114" s="42">
        <f>AF99*AE114+AF100*AF114</f>
        <v>60.53781246446989</v>
      </c>
      <c r="AH114" s="42">
        <f>AF99*AF114-AF100*AE114</f>
        <v>-23.997436381563002</v>
      </c>
    </row>
    <row r="115" spans="25:34" ht="12">
      <c r="Y115" s="2">
        <v>100</v>
      </c>
      <c r="Z115" s="2">
        <v>7</v>
      </c>
      <c r="AA115" s="2">
        <f>AA101*Y115/100</f>
        <v>144.52330822944327</v>
      </c>
      <c r="AB115" s="2">
        <f>AB101*Z115/100</f>
        <v>1.554</v>
      </c>
      <c r="AE115" s="2">
        <f>AA115-(AA110+AA109)/2</f>
        <v>79.4878195261938</v>
      </c>
      <c r="AF115" s="2">
        <f>AB115-AF108</f>
        <v>-9.546</v>
      </c>
      <c r="AG115" s="42">
        <f>AF99*AE115+AF100*AF115</f>
        <v>72.2356681104176</v>
      </c>
      <c r="AH115" s="42">
        <f>AF99*AF115-AF100*AE115</f>
        <v>-34.51735536900752</v>
      </c>
    </row>
    <row r="116" spans="25:34" ht="12">
      <c r="Y116" s="2">
        <v>100</v>
      </c>
      <c r="AA116" s="2">
        <f>AA101*Y116/100</f>
        <v>144.52330822944327</v>
      </c>
      <c r="AB116" s="2">
        <v>0</v>
      </c>
      <c r="AE116" s="2">
        <f>AA116-(AA110+AA109)/2</f>
        <v>79.4878195261938</v>
      </c>
      <c r="AF116" s="2">
        <f>AB116-AF108</f>
        <v>-11.1</v>
      </c>
      <c r="AG116" s="42">
        <f>AF99*AE116+AF100*AF116</f>
        <v>71.7376299626344</v>
      </c>
      <c r="AH116" s="42">
        <f>AF99*AF116-AF100*AE116</f>
        <v>-35.98938594048104</v>
      </c>
    </row>
    <row r="117" spans="31:34" ht="12">
      <c r="AE117" s="2">
        <f>AE102</f>
        <v>-65.03548870324947</v>
      </c>
      <c r="AF117" s="2">
        <f>AB102-AF108</f>
        <v>-11.1</v>
      </c>
      <c r="AG117" s="42">
        <f>AF99*AE117+AF100*AF117</f>
        <v>-65.16245240817109</v>
      </c>
      <c r="AH117" s="42">
        <f>AF99*AF117-AF100*AE117</f>
        <v>10.328581075023127</v>
      </c>
    </row>
    <row r="121" spans="29:30" ht="12">
      <c r="AC121" s="1" t="s">
        <v>3</v>
      </c>
      <c r="AD121" s="91">
        <f>O26</f>
        <v>280</v>
      </c>
    </row>
    <row r="122" spans="26:32" ht="12">
      <c r="Z122" s="2" t="s">
        <v>32</v>
      </c>
      <c r="AA122" s="2" t="s">
        <v>42</v>
      </c>
      <c r="AC122" s="2" t="s">
        <v>33</v>
      </c>
      <c r="AD122" s="100">
        <f>F26</f>
        <v>15.510754297042059</v>
      </c>
      <c r="AE122" s="2" t="s">
        <v>17</v>
      </c>
      <c r="AF122" s="45">
        <f>L26</f>
        <v>0.9635803374183004</v>
      </c>
    </row>
    <row r="123" spans="27:32" ht="12">
      <c r="AA123" s="2" t="s">
        <v>45</v>
      </c>
      <c r="AE123" s="2" t="s">
        <v>21</v>
      </c>
      <c r="AF123" s="84">
        <f>R26</f>
        <v>0.2674190220250502</v>
      </c>
    </row>
    <row r="124" spans="25:34" ht="12">
      <c r="Y124" s="2" t="s">
        <v>34</v>
      </c>
      <c r="Z124" s="2" t="s">
        <v>35</v>
      </c>
      <c r="AA124" s="4">
        <f>M26</f>
        <v>150.3802705127326</v>
      </c>
      <c r="AB124" s="2">
        <f>P26</f>
        <v>20</v>
      </c>
      <c r="AE124" s="2" t="s">
        <v>36</v>
      </c>
      <c r="AF124" s="2" t="s">
        <v>37</v>
      </c>
      <c r="AG124" s="42" t="s">
        <v>38</v>
      </c>
      <c r="AH124" s="42" t="s">
        <v>39</v>
      </c>
    </row>
    <row r="125" spans="28:34" ht="12">
      <c r="AB125" s="2">
        <v>0</v>
      </c>
      <c r="AE125" s="2">
        <f>AA125-(AA133+AA132)/2</f>
        <v>-67.67112173072968</v>
      </c>
      <c r="AF125" s="2">
        <f>AB125-AF131</f>
        <v>-10</v>
      </c>
      <c r="AG125" s="42">
        <f>AF122*AE125+AF123*AF125</f>
        <v>-67.8807525310219</v>
      </c>
      <c r="AH125" s="42">
        <f>AF122*AF125-AF123*AE125</f>
        <v>8.460741818386849</v>
      </c>
    </row>
    <row r="126" spans="25:34" ht="12">
      <c r="Y126" s="2">
        <v>0</v>
      </c>
      <c r="Z126" s="2">
        <v>10</v>
      </c>
      <c r="AA126" s="2">
        <f>AA124*Y126/100</f>
        <v>0</v>
      </c>
      <c r="AB126" s="2">
        <f>AB124*Z126/100</f>
        <v>2</v>
      </c>
      <c r="AE126" s="2">
        <f>AA126-(AA133+AA132)/2</f>
        <v>-67.67112173072968</v>
      </c>
      <c r="AF126" s="2">
        <f>AB126-AF131</f>
        <v>-8</v>
      </c>
      <c r="AG126" s="42">
        <f>AF122*AE126+AF123*AF126</f>
        <v>-67.3459144869718</v>
      </c>
      <c r="AH126" s="42">
        <f>AF122*AF126-AF123*AE126</f>
        <v>10.38790249322345</v>
      </c>
    </row>
    <row r="127" spans="25:34" ht="12">
      <c r="Y127" s="2">
        <v>2.5</v>
      </c>
      <c r="Z127" s="2">
        <v>41</v>
      </c>
      <c r="AA127" s="2">
        <f>AA124*Y127/100</f>
        <v>3.759506762818315</v>
      </c>
      <c r="AB127" s="2">
        <f>AB124*Z127/100</f>
        <v>8.2</v>
      </c>
      <c r="AE127" s="2">
        <f>AA127-(AA133+AA132)/2</f>
        <v>-63.91161496791136</v>
      </c>
      <c r="AF127" s="2">
        <f>AB127-AF131</f>
        <v>-1.8000000000000007</v>
      </c>
      <c r="AG127" s="42">
        <f>AF122*AE127+AF123*AF127</f>
        <v>-62.06532975537362</v>
      </c>
      <c r="AH127" s="42">
        <f>AF122*AF127-AF123*AE127</f>
        <v>15.356736963407474</v>
      </c>
    </row>
    <row r="128" spans="25:34" ht="12">
      <c r="Y128" s="2">
        <v>5</v>
      </c>
      <c r="Z128" s="2">
        <v>59</v>
      </c>
      <c r="AA128" s="2">
        <f>AA124*Y128/100</f>
        <v>7.51901352563663</v>
      </c>
      <c r="AB128" s="2">
        <f>AB124*Z128/100</f>
        <v>11.8</v>
      </c>
      <c r="AE128" s="2">
        <f>AA128-(AA133+AA132)/2</f>
        <v>-60.15210820509305</v>
      </c>
      <c r="AF128" s="2">
        <f>AB128-AF131</f>
        <v>1.8000000000000007</v>
      </c>
      <c r="AG128" s="42">
        <f>AF122*AE128+AF123*AF128</f>
        <v>-57.48003448104058</v>
      </c>
      <c r="AH128" s="42">
        <f>AF122*AF128-AF123*AE128</f>
        <v>17.820262556303923</v>
      </c>
    </row>
    <row r="129" spans="25:34" ht="12">
      <c r="Y129" s="2">
        <v>10</v>
      </c>
      <c r="Z129" s="2">
        <v>79</v>
      </c>
      <c r="AA129" s="2">
        <f>AA124*Y129/100</f>
        <v>15.03802705127326</v>
      </c>
      <c r="AB129" s="2">
        <f>AB124*Z129/100</f>
        <v>15.8</v>
      </c>
      <c r="AE129" s="2">
        <f>AA129-(AA133+AA132)/2</f>
        <v>-52.63309467945642</v>
      </c>
      <c r="AF129" s="2">
        <f>AB129-AF131</f>
        <v>5.800000000000001</v>
      </c>
      <c r="AG129" s="42">
        <f>AF122*AE129+AF123*AF129</f>
        <v>-49.16518480285468</v>
      </c>
      <c r="AH129" s="42">
        <f>AF122*AF129-AF123*AE129</f>
        <v>19.663856662358253</v>
      </c>
    </row>
    <row r="130" spans="25:34" ht="12">
      <c r="Y130" s="2">
        <v>20</v>
      </c>
      <c r="Z130" s="2">
        <v>95</v>
      </c>
      <c r="AA130" s="2">
        <f>AA124*Y130/100</f>
        <v>30.07605410254652</v>
      </c>
      <c r="AB130" s="2">
        <f>AB124*Z130/100</f>
        <v>19</v>
      </c>
      <c r="AE130" s="2">
        <f>AA130-(AA133+AA132)/2</f>
        <v>-37.59506762818316</v>
      </c>
      <c r="AF130" s="2">
        <f>AB130-AF131</f>
        <v>9</v>
      </c>
      <c r="AG130" s="42">
        <f>AF122*AE130+AF123*AF130</f>
        <v>-33.8190967522031</v>
      </c>
      <c r="AH130" s="42">
        <f>AF122*AF130-AF123*AE130</f>
        <v>18.725859254859067</v>
      </c>
    </row>
    <row r="131" spans="25:34" ht="12">
      <c r="Y131" s="2">
        <v>30</v>
      </c>
      <c r="Z131" s="2">
        <v>100</v>
      </c>
      <c r="AA131" s="2">
        <f>AA124*Y131/100</f>
        <v>45.11408115381978</v>
      </c>
      <c r="AB131" s="2">
        <f>AB124*Z131/100</f>
        <v>20</v>
      </c>
      <c r="AE131" s="2">
        <f>AA131-(AA133+AA132)/2</f>
        <v>-22.5570405769099</v>
      </c>
      <c r="AF131" s="2">
        <f>AB131/2</f>
        <v>10</v>
      </c>
      <c r="AG131" s="42">
        <f>AF122*AE131+AF123*AF131</f>
        <v>-19.06133055000663</v>
      </c>
      <c r="AH131" s="42">
        <f>AF122*AF131-AF123*AE131</f>
        <v>15.667985105039623</v>
      </c>
    </row>
    <row r="132" spans="25:34" ht="12">
      <c r="Y132" s="2">
        <v>40</v>
      </c>
      <c r="Z132" s="2">
        <v>99</v>
      </c>
      <c r="AA132" s="2">
        <f>AA124*Y132/100</f>
        <v>60.15210820509304</v>
      </c>
      <c r="AB132" s="2">
        <f>AB124*Z132/100</f>
        <v>19.8</v>
      </c>
      <c r="AE132" s="2">
        <f>AA132-(AA133+AA132)/2</f>
        <v>-7.5190135256366375</v>
      </c>
      <c r="AF132" s="2">
        <f>AB132-AF131</f>
        <v>9.8</v>
      </c>
      <c r="AG132" s="42">
        <f>AF122*AE132+AF123*AF132</f>
        <v>-4.624467174240223</v>
      </c>
      <c r="AH132" s="42">
        <f>AF122*AF132-AF123*AE132</f>
        <v>11.453814550318219</v>
      </c>
    </row>
    <row r="133" spans="25:34" ht="12">
      <c r="Y133" s="2">
        <v>50</v>
      </c>
      <c r="Z133" s="2">
        <v>95</v>
      </c>
      <c r="AA133" s="2">
        <f>AA124*Y133/100</f>
        <v>75.1901352563663</v>
      </c>
      <c r="AB133" s="2">
        <f>AB124*Z133/100</f>
        <v>19</v>
      </c>
      <c r="AE133" s="2">
        <f>AA133-(AA133+AA132)/2</f>
        <v>7.519013525636623</v>
      </c>
      <c r="AF133" s="2">
        <f>AB133-AF131</f>
        <v>9</v>
      </c>
      <c r="AG133" s="42">
        <f>AF122*AE133+AF123*AF133</f>
        <v>9.651944788311154</v>
      </c>
      <c r="AH133" s="42">
        <f>AF122*AF133-AF123*AE133</f>
        <v>6.661495793145834</v>
      </c>
    </row>
    <row r="134" spans="25:34" ht="12">
      <c r="Y134" s="2">
        <v>60</v>
      </c>
      <c r="Z134" s="2">
        <v>87</v>
      </c>
      <c r="AA134" s="2">
        <f>AA124*Y134/100</f>
        <v>90.22816230763956</v>
      </c>
      <c r="AB134" s="2">
        <f>AB124*Z134/100</f>
        <v>17.4</v>
      </c>
      <c r="AE134" s="2">
        <f>AA134-(AA133+AA132)/2</f>
        <v>22.557040576909884</v>
      </c>
      <c r="AF134" s="2">
        <f>AB134-AF131</f>
        <v>7.399999999999999</v>
      </c>
      <c r="AG134" s="42">
        <f>AF122*AE134+AF123*AF134</f>
        <v>23.714421533242493</v>
      </c>
      <c r="AH134" s="42">
        <f>AF122*AF134-AF123*AE134</f>
        <v>1.0983127660388066</v>
      </c>
    </row>
    <row r="135" spans="25:34" ht="12">
      <c r="Y135" s="2">
        <v>70</v>
      </c>
      <c r="Z135" s="2">
        <v>74</v>
      </c>
      <c r="AA135" s="2">
        <f>AA124*Y135/100</f>
        <v>105.26618935891284</v>
      </c>
      <c r="AB135" s="2">
        <f>AB124*Z135/100</f>
        <v>14.8</v>
      </c>
      <c r="AE135" s="2">
        <f>AA135-(AA133+AA132)/2</f>
        <v>37.59506762818316</v>
      </c>
      <c r="AF135" s="2">
        <f>AB135-AF131</f>
        <v>4.800000000000001</v>
      </c>
      <c r="AG135" s="42">
        <f>AF122*AE135+AF123*AF135</f>
        <v>37.50947925614879</v>
      </c>
      <c r="AH135" s="42">
        <f>AF122*AF135-AF123*AE135</f>
        <v>-5.428450598486521</v>
      </c>
    </row>
    <row r="136" spans="25:34" ht="12">
      <c r="Y136" s="2">
        <v>80</v>
      </c>
      <c r="Z136" s="2">
        <v>56</v>
      </c>
      <c r="AA136" s="2">
        <f>AA124*Y136/100</f>
        <v>120.30421641018609</v>
      </c>
      <c r="AB136" s="2">
        <f>AB124*Z136/100</f>
        <v>11.2</v>
      </c>
      <c r="AE136" s="2">
        <f>AA136-(AA133+AA132)/2</f>
        <v>52.633094679456406</v>
      </c>
      <c r="AF136" s="2">
        <f>AB136-AF131</f>
        <v>1.1999999999999993</v>
      </c>
      <c r="AG136" s="42">
        <f>AF122*AE136+AF123*AF136</f>
        <v>51.03711795703001</v>
      </c>
      <c r="AH136" s="42">
        <f>AF122*AF136-AF123*AE136</f>
        <v>-12.918794300430145</v>
      </c>
    </row>
    <row r="137" spans="25:34" ht="12">
      <c r="Y137" s="2">
        <v>90</v>
      </c>
      <c r="Z137" s="2">
        <v>35</v>
      </c>
      <c r="AA137" s="2">
        <f>AA124*Y137/100</f>
        <v>135.34224346145936</v>
      </c>
      <c r="AB137" s="2">
        <f>AB124*Z137/100</f>
        <v>7</v>
      </c>
      <c r="AE137" s="2">
        <f>AA137-(AA133+AA132)/2</f>
        <v>67.67112173072968</v>
      </c>
      <c r="AF137" s="2">
        <f>AB137-AF131</f>
        <v>-3</v>
      </c>
      <c r="AG137" s="42">
        <f>AF122*AE137+AF123*AF137</f>
        <v>64.40430524469623</v>
      </c>
      <c r="AH137" s="42">
        <f>AF122*AF137-AF123*AE137</f>
        <v>-20.987286204824755</v>
      </c>
    </row>
    <row r="138" spans="25:34" ht="12">
      <c r="Y138" s="2">
        <v>100</v>
      </c>
      <c r="Z138" s="2">
        <v>7</v>
      </c>
      <c r="AA138" s="2">
        <f>AA124*Y138/100</f>
        <v>150.3802705127326</v>
      </c>
      <c r="AB138" s="2">
        <f>AB124*Z138/100</f>
        <v>1.4</v>
      </c>
      <c r="AE138" s="2">
        <f>AA138-(AA133+AA132)/2</f>
        <v>82.70914878200293</v>
      </c>
      <c r="AF138" s="2">
        <f>AB138-AF131</f>
        <v>-8.6</v>
      </c>
      <c r="AG138" s="42">
        <f>AF122*AE138+AF123*AF138</f>
        <v>77.39710590152735</v>
      </c>
      <c r="AH138" s="42">
        <f>AF122*AF138-AF123*AE138</f>
        <v>-30.404790581604978</v>
      </c>
    </row>
    <row r="139" spans="25:34" ht="12">
      <c r="Y139" s="2">
        <v>100</v>
      </c>
      <c r="AA139" s="2">
        <f>AA124*Y139/100</f>
        <v>150.3802705127326</v>
      </c>
      <c r="AB139" s="2">
        <v>0</v>
      </c>
      <c r="AE139" s="2">
        <f>AA139-(AA133+AA132)/2</f>
        <v>82.70914878200293</v>
      </c>
      <c r="AF139" s="2">
        <f>AB139-AF131</f>
        <v>-10</v>
      </c>
      <c r="AG139" s="42">
        <f>AF122*AE139+AF123*AF139</f>
        <v>77.02271927069228</v>
      </c>
      <c r="AH139" s="42">
        <f>AF122*AF139-AF123*AE139</f>
        <v>-31.753803053990595</v>
      </c>
    </row>
    <row r="140" spans="31:34" ht="12">
      <c r="AE140" s="2">
        <f>AE125</f>
        <v>-67.67112173072968</v>
      </c>
      <c r="AF140" s="2">
        <f>AB125-AF131</f>
        <v>-10</v>
      </c>
      <c r="AG140" s="42">
        <f>AF122*AE140+AF123*AF140</f>
        <v>-67.8807525310219</v>
      </c>
      <c r="AH140" s="42">
        <f>AF122*AF140-AF123*AE140</f>
        <v>8.460741818386849</v>
      </c>
    </row>
    <row r="144" spans="29:30" ht="12">
      <c r="AC144" s="1" t="s">
        <v>3</v>
      </c>
      <c r="AD144" s="91">
        <f>O27</f>
        <v>350</v>
      </c>
    </row>
    <row r="145" spans="26:32" ht="12">
      <c r="Z145" s="2" t="s">
        <v>32</v>
      </c>
      <c r="AA145" s="2" t="s">
        <v>42</v>
      </c>
      <c r="AC145" s="2" t="s">
        <v>33</v>
      </c>
      <c r="AD145" s="100">
        <f>F27</f>
        <v>12.726772756547332</v>
      </c>
      <c r="AE145" s="2" t="s">
        <v>17</v>
      </c>
      <c r="AF145" s="45">
        <f>L27</f>
        <v>0.9754317507187742</v>
      </c>
    </row>
    <row r="146" spans="27:32" ht="12">
      <c r="AA146" s="2" t="s">
        <v>45</v>
      </c>
      <c r="AE146" s="2" t="s">
        <v>21</v>
      </c>
      <c r="AF146" s="84">
        <f>R27</f>
        <v>0.22030183769026346</v>
      </c>
    </row>
    <row r="147" spans="25:34" ht="12">
      <c r="Y147" s="2" t="s">
        <v>34</v>
      </c>
      <c r="Z147" s="2" t="s">
        <v>35</v>
      </c>
      <c r="AA147" s="4">
        <f>M27</f>
        <v>153.8388917612479</v>
      </c>
      <c r="AB147" s="2">
        <f>P27</f>
        <v>17.7</v>
      </c>
      <c r="AE147" s="2" t="s">
        <v>36</v>
      </c>
      <c r="AF147" s="2" t="s">
        <v>37</v>
      </c>
      <c r="AG147" s="42" t="s">
        <v>38</v>
      </c>
      <c r="AH147" s="42" t="s">
        <v>39</v>
      </c>
    </row>
    <row r="148" spans="28:34" ht="12">
      <c r="AB148" s="2">
        <v>0</v>
      </c>
      <c r="AE148" s="2">
        <f>AA148-(AA156+AA155)/2</f>
        <v>-69.22750129256156</v>
      </c>
      <c r="AF148" s="2">
        <f>AB148-AF154</f>
        <v>-8.85</v>
      </c>
      <c r="AG148" s="42">
        <f>AF145*AE148+AF146*AF148</f>
        <v>-69.47637404724834</v>
      </c>
      <c r="AH148" s="42">
        <f>AF145*AF148-AF146*AE148</f>
        <v>6.618374759595248</v>
      </c>
    </row>
    <row r="149" spans="25:34" ht="12">
      <c r="Y149" s="2">
        <v>0</v>
      </c>
      <c r="Z149" s="2">
        <v>10</v>
      </c>
      <c r="AA149" s="2">
        <f>AA147*Y149/100</f>
        <v>0</v>
      </c>
      <c r="AB149" s="2">
        <f>AB147*Z149/100</f>
        <v>1.77</v>
      </c>
      <c r="AE149" s="2">
        <f>AA149-(AA156+AA155)/2</f>
        <v>-69.22750129256156</v>
      </c>
      <c r="AF149" s="2">
        <f>AB149-AF154</f>
        <v>-7.08</v>
      </c>
      <c r="AG149" s="42">
        <f>AF145*AE149+AF146*AF149</f>
        <v>-69.08643979453657</v>
      </c>
      <c r="AH149" s="42">
        <f>AF145*AF149-AF146*AE149</f>
        <v>8.344888958367477</v>
      </c>
    </row>
    <row r="150" spans="25:34" ht="12">
      <c r="Y150" s="2">
        <v>2.5</v>
      </c>
      <c r="Z150" s="2">
        <v>41</v>
      </c>
      <c r="AA150" s="2">
        <f>AA147*Y150/100</f>
        <v>3.8459722940311973</v>
      </c>
      <c r="AB150" s="2">
        <f>AB147*Z150/100</f>
        <v>7.257</v>
      </c>
      <c r="AE150" s="2">
        <f>AA150-(AA156+AA155)/2</f>
        <v>-65.38152899853036</v>
      </c>
      <c r="AF150" s="2">
        <f>AB150-AF154</f>
        <v>-1.593</v>
      </c>
      <c r="AG150" s="42">
        <f>AF145*AE150+AF146*AF150</f>
        <v>-64.12616012314736</v>
      </c>
      <c r="AH150" s="42">
        <f>AF145*AF150-AF146*AE150</f>
        <v>12.84980821048048</v>
      </c>
    </row>
    <row r="151" spans="25:34" ht="12">
      <c r="Y151" s="2">
        <v>5</v>
      </c>
      <c r="Z151" s="2">
        <v>59</v>
      </c>
      <c r="AA151" s="2">
        <f>AA147*Y151/100</f>
        <v>7.691944588062395</v>
      </c>
      <c r="AB151" s="2">
        <f>AB147*Z151/100</f>
        <v>10.443</v>
      </c>
      <c r="AE151" s="2">
        <f>AA151-(AA156+AA155)/2</f>
        <v>-61.53555670449916</v>
      </c>
      <c r="AF151" s="2">
        <f>AB151-AF154</f>
        <v>1.593</v>
      </c>
      <c r="AG151" s="42">
        <f>AF145*AE151+AF146*AF151</f>
        <v>-59.67279498028343</v>
      </c>
      <c r="AH151" s="42">
        <f>AF145*AF151-AF146*AE151</f>
        <v>15.110259004189585</v>
      </c>
    </row>
    <row r="152" spans="25:34" ht="12">
      <c r="Y152" s="2">
        <v>10</v>
      </c>
      <c r="Z152" s="2">
        <v>79</v>
      </c>
      <c r="AA152" s="2">
        <f>AA147*Y152/100</f>
        <v>15.38388917612479</v>
      </c>
      <c r="AB152" s="2">
        <f>AB147*Z152/100</f>
        <v>13.982999999999999</v>
      </c>
      <c r="AE152" s="2">
        <f>AA152-(AA156+AA155)/2</f>
        <v>-53.843612116436766</v>
      </c>
      <c r="AF152" s="2">
        <f>AB152-AF154</f>
        <v>5.132999999999999</v>
      </c>
      <c r="AG152" s="42">
        <f>AF145*AE152+AF146*AF152</f>
        <v>-51.38995949889439</v>
      </c>
      <c r="AH152" s="42">
        <f>AF145*AF152-AF146*AE152</f>
        <v>16.868737873572222</v>
      </c>
    </row>
    <row r="153" spans="25:34" ht="12">
      <c r="Y153" s="2">
        <v>20</v>
      </c>
      <c r="Z153" s="2">
        <v>95</v>
      </c>
      <c r="AA153" s="2">
        <f>AA147*Y153/100</f>
        <v>30.76777835224958</v>
      </c>
      <c r="AB153" s="2">
        <f>AB147*Z153/100</f>
        <v>16.815</v>
      </c>
      <c r="AE153" s="2">
        <f>AA153-(AA156+AA155)/2</f>
        <v>-38.45972294031198</v>
      </c>
      <c r="AF153" s="2">
        <f>AB153-AF154</f>
        <v>7.965000000000002</v>
      </c>
      <c r="AG153" s="42">
        <f>AF145*AE153+AF146*AF153</f>
        <v>-35.76013074262456</v>
      </c>
      <c r="AH153" s="42">
        <f>AF145*AF153-AF146*AE153</f>
        <v>16.24206153528415</v>
      </c>
    </row>
    <row r="154" spans="25:34" ht="12">
      <c r="Y154" s="2">
        <v>30</v>
      </c>
      <c r="Z154" s="2">
        <v>100</v>
      </c>
      <c r="AA154" s="2">
        <f>AA147*Y154/100</f>
        <v>46.151667528374375</v>
      </c>
      <c r="AB154" s="2">
        <f>AB147*Z154/100</f>
        <v>17.7</v>
      </c>
      <c r="AE154" s="2">
        <f>AA154-(AA156+AA155)/2</f>
        <v>-23.07583376418718</v>
      </c>
      <c r="AF154" s="2">
        <f>AB154/2</f>
        <v>8.85</v>
      </c>
      <c r="AG154" s="42">
        <f>AF145*AE154+AF146*AF154</f>
        <v>-20.55922966433767</v>
      </c>
      <c r="AH154" s="42">
        <f>AF145*AF154-AF146*AE154</f>
        <v>13.716219578346617</v>
      </c>
    </row>
    <row r="155" spans="25:34" ht="12">
      <c r="Y155" s="2">
        <v>40</v>
      </c>
      <c r="Z155" s="2">
        <v>99</v>
      </c>
      <c r="AA155" s="2">
        <f>AA147*Y155/100</f>
        <v>61.53555670449916</v>
      </c>
      <c r="AB155" s="2">
        <f>AB147*Z155/100</f>
        <v>17.523</v>
      </c>
      <c r="AE155" s="2">
        <f>AA155-(AA156+AA155)/2</f>
        <v>-7.691944588062398</v>
      </c>
      <c r="AF155" s="2">
        <f>AB155-AF154</f>
        <v>8.673</v>
      </c>
      <c r="AG155" s="42">
        <f>AF145*AE155+AF146*AF155</f>
        <v>-5.5922891376778505</v>
      </c>
      <c r="AH155" s="42">
        <f>AF145*AF155-AF146*AE155</f>
        <v>10.15446910214575</v>
      </c>
    </row>
    <row r="156" spans="25:34" ht="12">
      <c r="Y156" s="2">
        <v>50</v>
      </c>
      <c r="Z156" s="2">
        <v>95</v>
      </c>
      <c r="AA156" s="2">
        <f>AA147*Y156/100</f>
        <v>76.91944588062395</v>
      </c>
      <c r="AB156" s="2">
        <f>AB147*Z156/100</f>
        <v>16.815</v>
      </c>
      <c r="AE156" s="2">
        <f>AA156-(AA156+AA155)/2</f>
        <v>7.691944588062398</v>
      </c>
      <c r="AF156" s="2">
        <f>AB156-AF154</f>
        <v>7.965000000000002</v>
      </c>
      <c r="AG156" s="42">
        <f>AF145*AE156+AF146*AF156</f>
        <v>9.257671113168454</v>
      </c>
      <c r="AH156" s="42">
        <f>AF145*AF156-AF146*AE156</f>
        <v>6.074764366313215</v>
      </c>
    </row>
    <row r="157" spans="25:34" ht="12">
      <c r="Y157" s="2">
        <v>60</v>
      </c>
      <c r="Z157" s="2">
        <v>87</v>
      </c>
      <c r="AA157" s="2">
        <f>AA147*Y157/100</f>
        <v>92.30333505674875</v>
      </c>
      <c r="AB157" s="2">
        <f>AB147*Z157/100</f>
        <v>15.399</v>
      </c>
      <c r="AE157" s="2">
        <f>AA157-(AA156+AA155)/2</f>
        <v>23.075833764187195</v>
      </c>
      <c r="AF157" s="2">
        <f>AB157-AF154</f>
        <v>6.5489999999999995</v>
      </c>
      <c r="AG157" s="42">
        <f>AF145*AE157+AF146*AF157</f>
        <v>23.95165766293005</v>
      </c>
      <c r="AH157" s="42">
        <f>AF145*AF157-AF146*AE157</f>
        <v>1.3044539509717836</v>
      </c>
    </row>
    <row r="158" spans="25:34" ht="12">
      <c r="Y158" s="2">
        <v>70</v>
      </c>
      <c r="Z158" s="2">
        <v>74</v>
      </c>
      <c r="AA158" s="2">
        <f>AA147*Y158/100</f>
        <v>107.68722423287355</v>
      </c>
      <c r="AB158" s="2">
        <f>AB147*Z158/100</f>
        <v>13.097999999999999</v>
      </c>
      <c r="AE158" s="2">
        <f>AA158-(AA156+AA155)/2</f>
        <v>38.45972294031199</v>
      </c>
      <c r="AF158" s="2">
        <f>AB158-AF154</f>
        <v>4.247999999999999</v>
      </c>
      <c r="AG158" s="42">
        <f>AF145*AE158+AF146*AF158</f>
        <v>38.450677086335766</v>
      </c>
      <c r="AH158" s="42">
        <f>AF145*AF158-AF146*AE158</f>
        <v>-4.3291135637557625</v>
      </c>
    </row>
    <row r="159" spans="25:34" ht="12">
      <c r="Y159" s="2">
        <v>80</v>
      </c>
      <c r="Z159" s="2">
        <v>56</v>
      </c>
      <c r="AA159" s="2">
        <f>AA147*Y159/100</f>
        <v>123.07111340899831</v>
      </c>
      <c r="AB159" s="2">
        <f>AB147*Z159/100</f>
        <v>9.911999999999999</v>
      </c>
      <c r="AE159" s="2">
        <f>AA159-(AA156+AA155)/2</f>
        <v>53.84361211643676</v>
      </c>
      <c r="AF159" s="2">
        <f>AB159-AF154</f>
        <v>1.0619999999999994</v>
      </c>
      <c r="AG159" s="42">
        <f>AF145*AE159+AF146*AF159</f>
        <v>52.754729383385566</v>
      </c>
      <c r="AH159" s="42">
        <f>AF145*AF159-AF146*AE159</f>
        <v>-10.825938177869416</v>
      </c>
    </row>
    <row r="160" spans="25:34" ht="12">
      <c r="Y160" s="2">
        <v>90</v>
      </c>
      <c r="Z160" s="2">
        <v>35</v>
      </c>
      <c r="AA160" s="2">
        <f>AA147*Y160/100</f>
        <v>138.4550025851231</v>
      </c>
      <c r="AB160" s="2">
        <f>AB147*Z160/100</f>
        <v>6.195</v>
      </c>
      <c r="AE160" s="2">
        <f>AA160-(AA156+AA155)/2</f>
        <v>69.22750129256156</v>
      </c>
      <c r="AF160" s="2">
        <f>AB160-AF154</f>
        <v>-2.6549999999999994</v>
      </c>
      <c r="AG160" s="42">
        <f>AF145*AE160+AF146*AF160</f>
        <v>66.94180140462187</v>
      </c>
      <c r="AH160" s="42">
        <f>AF145*AF160-AF146*AE160</f>
        <v>-17.840717051614746</v>
      </c>
    </row>
    <row r="161" spans="25:34" ht="12">
      <c r="Y161" s="2">
        <v>100</v>
      </c>
      <c r="Z161" s="2">
        <v>7</v>
      </c>
      <c r="AA161" s="2">
        <f>AA147*Y161/100</f>
        <v>153.8388917612479</v>
      </c>
      <c r="AB161" s="2">
        <f>AB147*Z161/100</f>
        <v>1.2389999999999999</v>
      </c>
      <c r="AE161" s="2">
        <f>AA161-(AA156+AA155)/2</f>
        <v>84.61139046868635</v>
      </c>
      <c r="AF161" s="2">
        <f>AB161-AF154</f>
        <v>-7.611</v>
      </c>
      <c r="AG161" s="42">
        <f>AF145*AE161+AF146*AF161</f>
        <v>80.85591944895994</v>
      </c>
      <c r="AH161" s="42">
        <f>AF145*AF161-AF146*AE161</f>
        <v>-26.064055864500634</v>
      </c>
    </row>
    <row r="162" spans="25:34" ht="12">
      <c r="Y162" s="2">
        <v>100</v>
      </c>
      <c r="AA162" s="2">
        <f>AA147*Y162/100</f>
        <v>153.8388917612479</v>
      </c>
      <c r="AB162" s="2">
        <v>0</v>
      </c>
      <c r="AE162" s="2">
        <f>AA162-(AA156+AA155)/2</f>
        <v>84.61139046868635</v>
      </c>
      <c r="AF162" s="2">
        <f>AB162-AF154</f>
        <v>-8.85</v>
      </c>
      <c r="AG162" s="42">
        <f>AF145*AE162+AF146*AF162</f>
        <v>80.5829654720617</v>
      </c>
      <c r="AH162" s="42">
        <f>AF145*AF162-AF146*AE162</f>
        <v>-27.272615803641195</v>
      </c>
    </row>
    <row r="163" spans="31:34" ht="12">
      <c r="AE163" s="2">
        <f>AE148</f>
        <v>-69.22750129256156</v>
      </c>
      <c r="AF163" s="2">
        <f>AB148-AF154</f>
        <v>-8.85</v>
      </c>
      <c r="AG163" s="42">
        <f>AF145*AE163+AF146*AF163</f>
        <v>-69.47637404724834</v>
      </c>
      <c r="AH163" s="42">
        <f>AF145*AF163-AF146*AE163</f>
        <v>6.618374759595248</v>
      </c>
    </row>
    <row r="167" spans="29:30" ht="12">
      <c r="AC167" s="1" t="s">
        <v>3</v>
      </c>
      <c r="AD167" s="91">
        <f>O28</f>
        <v>420</v>
      </c>
    </row>
    <row r="168" spans="26:32" ht="12">
      <c r="Z168" s="2" t="s">
        <v>32</v>
      </c>
      <c r="AA168" s="2" t="s">
        <v>42</v>
      </c>
      <c r="AC168" s="2" t="s">
        <v>33</v>
      </c>
      <c r="AD168" s="100">
        <f>F28</f>
        <v>10.340502864694706</v>
      </c>
      <c r="AE168" s="2" t="s">
        <v>17</v>
      </c>
      <c r="AF168" s="45">
        <f>L28</f>
        <v>0.983758422747244</v>
      </c>
    </row>
    <row r="169" spans="27:32" ht="12">
      <c r="AA169" s="2" t="s">
        <v>45</v>
      </c>
      <c r="AE169" s="2" t="s">
        <v>21</v>
      </c>
      <c r="AF169" s="84">
        <f>R28</f>
        <v>0.17949753667907212</v>
      </c>
    </row>
    <row r="170" spans="25:34" ht="12">
      <c r="Y170" s="2" t="s">
        <v>34</v>
      </c>
      <c r="Z170" s="2" t="s">
        <v>35</v>
      </c>
      <c r="AA170" s="4">
        <f>M28</f>
        <v>153.1619280998365</v>
      </c>
      <c r="AB170" s="2">
        <f>P28</f>
        <v>15.2</v>
      </c>
      <c r="AE170" s="2" t="s">
        <v>36</v>
      </c>
      <c r="AF170" s="2" t="s">
        <v>37</v>
      </c>
      <c r="AG170" s="42" t="s">
        <v>38</v>
      </c>
      <c r="AH170" s="42" t="s">
        <v>39</v>
      </c>
    </row>
    <row r="171" spans="28:34" ht="12">
      <c r="AB171" s="2">
        <v>0</v>
      </c>
      <c r="AE171" s="2">
        <f>AA171-(AA179+AA178)/2</f>
        <v>-68.92286764492643</v>
      </c>
      <c r="AF171" s="2">
        <f>AB171-AF177</f>
        <v>-7.6</v>
      </c>
      <c r="AG171" s="42">
        <f>AF168*AE171+AF169*AF171</f>
        <v>-69.16763284435083</v>
      </c>
      <c r="AH171" s="42">
        <f>AF168*AF171-AF169*AE171</f>
        <v>4.894920950242961</v>
      </c>
    </row>
    <row r="172" spans="25:34" ht="12">
      <c r="Y172" s="2">
        <v>0</v>
      </c>
      <c r="Z172" s="2">
        <v>10</v>
      </c>
      <c r="AA172" s="2">
        <f>AA170*Y172/100</f>
        <v>0</v>
      </c>
      <c r="AB172" s="2">
        <f>AB170*Z172/100</f>
        <v>1.52</v>
      </c>
      <c r="AE172" s="2">
        <f>AA172-(AA179+AA178)/2</f>
        <v>-68.92286764492643</v>
      </c>
      <c r="AF172" s="2">
        <f>AB172-AF177</f>
        <v>-6.08</v>
      </c>
      <c r="AG172" s="42">
        <f>AF168*AE172+AF169*AF172</f>
        <v>-68.89479658859864</v>
      </c>
      <c r="AH172" s="42">
        <f>AF168*AF172-AF169*AE172</f>
        <v>6.390233752818771</v>
      </c>
    </row>
    <row r="173" spans="25:34" ht="12">
      <c r="Y173" s="2">
        <v>2.5</v>
      </c>
      <c r="Z173" s="2">
        <v>41</v>
      </c>
      <c r="AA173" s="2">
        <f>AA170*Y173/100</f>
        <v>3.8290482024959123</v>
      </c>
      <c r="AB173" s="2">
        <f>AB170*Z173/100</f>
        <v>6.231999999999999</v>
      </c>
      <c r="AE173" s="2">
        <f>AA173-(AA179+AA178)/2</f>
        <v>-65.09381944243052</v>
      </c>
      <c r="AF173" s="2">
        <f>AB173-AF177</f>
        <v>-1.3680000000000003</v>
      </c>
      <c r="AG173" s="42">
        <f>AF168*AE173+AF169*AF173</f>
        <v>-64.2821457754563</v>
      </c>
      <c r="AH173" s="42">
        <f>AF168*AF173-AF169*AE173</f>
        <v>10.33839872063034</v>
      </c>
    </row>
    <row r="174" spans="25:34" ht="12">
      <c r="Y174" s="2">
        <v>5</v>
      </c>
      <c r="Z174" s="2">
        <v>59</v>
      </c>
      <c r="AA174" s="2">
        <f>AA170*Y174/100</f>
        <v>7.6580964049918245</v>
      </c>
      <c r="AB174" s="2">
        <f>AB170*Z174/100</f>
        <v>8.968</v>
      </c>
      <c r="AE174" s="2">
        <f>AA174-(AA179+AA178)/2</f>
        <v>-61.2647712399346</v>
      </c>
      <c r="AF174" s="2">
        <f>AB174-AF177</f>
        <v>1.3680000000000003</v>
      </c>
      <c r="AG174" s="42">
        <f>AF168*AE174+AF169*AF174</f>
        <v>-60.02418209479181</v>
      </c>
      <c r="AH174" s="42">
        <f>AF168*AF174-AF169*AE174</f>
        <v>12.342657045093354</v>
      </c>
    </row>
    <row r="175" spans="25:34" ht="12">
      <c r="Y175" s="2">
        <v>10</v>
      </c>
      <c r="Z175" s="2">
        <v>79</v>
      </c>
      <c r="AA175" s="2">
        <f>AA170*Y175/100</f>
        <v>15.316192809983649</v>
      </c>
      <c r="AB175" s="2">
        <f>AB170*Z175/100</f>
        <v>12.008</v>
      </c>
      <c r="AE175" s="2">
        <f>AA175-(AA179+AA178)/2</f>
        <v>-53.60667483494278</v>
      </c>
      <c r="AF175" s="2">
        <f>AB175-AF177</f>
        <v>4.4079999999999995</v>
      </c>
      <c r="AG175" s="42">
        <f>AF168*AE175+AF169*AF175</f>
        <v>-51.94479274266634</v>
      </c>
      <c r="AH175" s="42">
        <f>AF168*AF175-AF169*AE175</f>
        <v>13.958673209898086</v>
      </c>
    </row>
    <row r="176" spans="25:34" ht="12">
      <c r="Y176" s="2">
        <v>20</v>
      </c>
      <c r="Z176" s="2">
        <v>95</v>
      </c>
      <c r="AA176" s="2">
        <f>AA170*Y176/100</f>
        <v>30.632385619967298</v>
      </c>
      <c r="AB176" s="2">
        <f>AB170*Z176/100</f>
        <v>14.44</v>
      </c>
      <c r="AE176" s="2">
        <f>AA176-(AA179+AA178)/2</f>
        <v>-38.29048202495913</v>
      </c>
      <c r="AF176" s="2">
        <f>AB176-AF177</f>
        <v>6.84</v>
      </c>
      <c r="AG176" s="42">
        <f>AF168*AE176+AF169*AF176</f>
        <v>-36.44082105222064</v>
      </c>
      <c r="AH176" s="42">
        <f>AF168*AF176-AF169*AE176</f>
        <v>13.601954813325602</v>
      </c>
    </row>
    <row r="177" spans="25:34" ht="12">
      <c r="Y177" s="2">
        <v>30</v>
      </c>
      <c r="Z177" s="2">
        <v>100</v>
      </c>
      <c r="AA177" s="2">
        <f>AA170*Y177/100</f>
        <v>45.94857842995095</v>
      </c>
      <c r="AB177" s="2">
        <f>AB170*Z177/100</f>
        <v>15.2</v>
      </c>
      <c r="AE177" s="2">
        <f>AA177-(AA179+AA178)/2</f>
        <v>-22.974289214975478</v>
      </c>
      <c r="AF177" s="2">
        <f>AB177/2</f>
        <v>7.6</v>
      </c>
      <c r="AG177" s="42">
        <f>AF168*AE177+AF169*AF177</f>
        <v>-21.236969243102347</v>
      </c>
      <c r="AH177" s="42">
        <f>AF168*AF177-AF169*AE177</f>
        <v>11.600392333919725</v>
      </c>
    </row>
    <row r="178" spans="25:34" ht="12">
      <c r="Y178" s="2">
        <v>40</v>
      </c>
      <c r="Z178" s="2">
        <v>99</v>
      </c>
      <c r="AA178" s="2">
        <f>AA170*Y178/100</f>
        <v>61.264771239934596</v>
      </c>
      <c r="AB178" s="2">
        <f>AB170*Z178/100</f>
        <v>15.048</v>
      </c>
      <c r="AE178" s="2">
        <f>AA178-(AA179+AA178)/2</f>
        <v>-7.658096404991831</v>
      </c>
      <c r="AF178" s="2">
        <f>AB178-AF177</f>
        <v>7.448</v>
      </c>
      <c r="AG178" s="42">
        <f>AF168*AE178+AF169*AF178</f>
        <v>-6.1968191874353735</v>
      </c>
      <c r="AH178" s="42">
        <f>AF168*AF178-AF169*AE178</f>
        <v>8.701642172968365</v>
      </c>
    </row>
    <row r="179" spans="25:34" ht="12">
      <c r="Y179" s="2">
        <v>50</v>
      </c>
      <c r="Z179" s="2">
        <v>95</v>
      </c>
      <c r="AA179" s="2">
        <f>AA170*Y179/100</f>
        <v>76.58096404991825</v>
      </c>
      <c r="AB179" s="2">
        <f>AB170*Z179/100</f>
        <v>14.44</v>
      </c>
      <c r="AE179" s="2">
        <f>AA179-(AA179+AA178)/2</f>
        <v>7.658096404991824</v>
      </c>
      <c r="AF179" s="2">
        <f>AB179-AF177</f>
        <v>6.84</v>
      </c>
      <c r="AG179" s="42">
        <f>AF168*AE179+AF169*AF179</f>
        <v>8.761479991505949</v>
      </c>
      <c r="AH179" s="42">
        <f>AF168*AF179-AF169*AE179</f>
        <v>5.354298171244259</v>
      </c>
    </row>
    <row r="180" spans="25:34" ht="12">
      <c r="Y180" s="2">
        <v>60</v>
      </c>
      <c r="Z180" s="2">
        <v>87</v>
      </c>
      <c r="AA180" s="2">
        <f>AA170*Y180/100</f>
        <v>91.8971568599019</v>
      </c>
      <c r="AB180" s="2">
        <f>AB170*Z180/100</f>
        <v>13.223999999999998</v>
      </c>
      <c r="AE180" s="2">
        <f>AA180-(AA179+AA178)/2</f>
        <v>22.97428921497547</v>
      </c>
      <c r="AF180" s="2">
        <f>AB180-AF177</f>
        <v>5.623999999999999</v>
      </c>
      <c r="AG180" s="42">
        <f>AF168*AE180+AF169*AF180</f>
        <v>23.610644668146392</v>
      </c>
      <c r="AH180" s="42">
        <f>AF168*AF180-AF169*AE180</f>
        <v>1.408829048489828</v>
      </c>
    </row>
    <row r="181" spans="25:34" ht="12">
      <c r="Y181" s="2">
        <v>70</v>
      </c>
      <c r="Z181" s="2">
        <v>74</v>
      </c>
      <c r="AA181" s="2">
        <f>AA170*Y181/100</f>
        <v>107.21334966988556</v>
      </c>
      <c r="AB181" s="2">
        <f>AB170*Z181/100</f>
        <v>11.248</v>
      </c>
      <c r="AE181" s="2">
        <f>AA181-(AA179+AA178)/2</f>
        <v>38.29048202495913</v>
      </c>
      <c r="AF181" s="2">
        <f>AB181-AF177</f>
        <v>3.6479999999999997</v>
      </c>
      <c r="AG181" s="42">
        <f>AF168*AE181+AF169*AF181</f>
        <v>38.32339121691075</v>
      </c>
      <c r="AH181" s="42">
        <f>AF168*AF181-AF169*AE181</f>
        <v>-3.284296475552508</v>
      </c>
    </row>
    <row r="182" spans="25:34" ht="12">
      <c r="Y182" s="2">
        <v>80</v>
      </c>
      <c r="Z182" s="2">
        <v>56</v>
      </c>
      <c r="AA182" s="2">
        <f>AA170*Y182/100</f>
        <v>122.52954247986919</v>
      </c>
      <c r="AB182" s="2">
        <f>AB170*Z182/100</f>
        <v>8.511999999999999</v>
      </c>
      <c r="AE182" s="2">
        <f>AA182-(AA179+AA178)/2</f>
        <v>53.606674834942766</v>
      </c>
      <c r="AF182" s="2">
        <f>AB182-AF177</f>
        <v>0.911999999999999</v>
      </c>
      <c r="AG182" s="42">
        <f>AF168*AE182+AF169*AF182</f>
        <v>52.89971963779899</v>
      </c>
      <c r="AH182" s="42">
        <f>AF168*AF182-AF169*AE182</f>
        <v>-8.725078400882746</v>
      </c>
    </row>
    <row r="183" spans="25:34" ht="12">
      <c r="Y183" s="2">
        <v>90</v>
      </c>
      <c r="Z183" s="2">
        <v>35</v>
      </c>
      <c r="AA183" s="2">
        <f>AA170*Y183/100</f>
        <v>137.84573528985285</v>
      </c>
      <c r="AB183" s="2">
        <f>AB170*Z183/100</f>
        <v>5.32</v>
      </c>
      <c r="AE183" s="2">
        <f>AA183-(AA179+AA178)/2</f>
        <v>68.92286764492643</v>
      </c>
      <c r="AF183" s="2">
        <f>AB183-AF177</f>
        <v>-2.2799999999999994</v>
      </c>
      <c r="AG183" s="42">
        <f>AF168*AE183+AF169*AF183</f>
        <v>67.3941971819616</v>
      </c>
      <c r="AH183" s="42">
        <f>AF168*AF183-AF169*AE183</f>
        <v>-14.61445416698573</v>
      </c>
    </row>
    <row r="184" spans="25:34" ht="12">
      <c r="Y184" s="2">
        <v>100</v>
      </c>
      <c r="Z184" s="2">
        <v>7</v>
      </c>
      <c r="AA184" s="2">
        <f>AA170*Y184/100</f>
        <v>153.1619280998365</v>
      </c>
      <c r="AB184" s="2">
        <f>AB170*Z184/100</f>
        <v>1.0639999999999998</v>
      </c>
      <c r="AE184" s="2">
        <f>AA184-(AA179+AA178)/2</f>
        <v>84.23906045491007</v>
      </c>
      <c r="AF184" s="2">
        <f>AB184-AF177</f>
        <v>-6.536</v>
      </c>
      <c r="AG184" s="42">
        <f>AF168*AE184+AF169*AF184</f>
        <v>81.69768934709766</v>
      </c>
      <c r="AH184" s="42">
        <f>AF168*AF184-AF169*AE184</f>
        <v>-21.550548894891783</v>
      </c>
    </row>
    <row r="185" spans="25:34" ht="12">
      <c r="Y185" s="2">
        <v>100</v>
      </c>
      <c r="AA185" s="2">
        <f>AA170*Y185/100</f>
        <v>153.1619280998365</v>
      </c>
      <c r="AB185" s="2">
        <v>0</v>
      </c>
      <c r="AE185" s="2">
        <f>AA185-(AA179+AA178)/2</f>
        <v>84.23906045491007</v>
      </c>
      <c r="AF185" s="2">
        <f>AB185-AF177</f>
        <v>-7.6</v>
      </c>
      <c r="AG185" s="42">
        <f>AF168*AE185+AF169*AF185</f>
        <v>81.50670396807112</v>
      </c>
      <c r="AH185" s="42">
        <f>AF168*AF185-AF169*AE185</f>
        <v>-22.59726785669485</v>
      </c>
    </row>
    <row r="186" spans="31:34" ht="12">
      <c r="AE186" s="2">
        <f>AE171</f>
        <v>-68.92286764492643</v>
      </c>
      <c r="AF186" s="2">
        <f>AB171-AF177</f>
        <v>-7.6</v>
      </c>
      <c r="AG186" s="42">
        <f>AF168*AE186+AF169*AF186</f>
        <v>-69.16763284435083</v>
      </c>
      <c r="AH186" s="42">
        <f>AF168*AF186-AF169*AE186</f>
        <v>4.894920950242961</v>
      </c>
    </row>
    <row r="189" spans="29:30" ht="12">
      <c r="AC189" s="1" t="s">
        <v>3</v>
      </c>
      <c r="AD189" s="91">
        <f>O29</f>
        <v>489.99999999999994</v>
      </c>
    </row>
    <row r="190" spans="26:32" ht="12">
      <c r="Z190" s="2" t="s">
        <v>32</v>
      </c>
      <c r="AA190" s="2" t="s">
        <v>42</v>
      </c>
      <c r="AC190" s="2" t="s">
        <v>33</v>
      </c>
      <c r="AD190" s="100">
        <f>F29</f>
        <v>8.67011394039787</v>
      </c>
      <c r="AE190" s="2" t="s">
        <v>17</v>
      </c>
      <c r="AF190" s="45">
        <f>L29</f>
        <v>0.9885726708135044</v>
      </c>
    </row>
    <row r="191" spans="27:32" ht="12">
      <c r="AA191" s="2" t="s">
        <v>45</v>
      </c>
      <c r="AE191" s="2" t="s">
        <v>21</v>
      </c>
      <c r="AF191" s="84">
        <f>R29</f>
        <v>0.15074506466433546</v>
      </c>
    </row>
    <row r="192" spans="25:34" ht="12">
      <c r="Y192" s="2" t="s">
        <v>34</v>
      </c>
      <c r="Z192" s="2" t="s">
        <v>35</v>
      </c>
      <c r="AA192" s="4">
        <f>M29</f>
        <v>149.3055136001298</v>
      </c>
      <c r="AB192" s="2">
        <f>P29</f>
        <v>13</v>
      </c>
      <c r="AE192" s="2" t="s">
        <v>36</v>
      </c>
      <c r="AF192" s="2" t="s">
        <v>37</v>
      </c>
      <c r="AG192" s="42" t="s">
        <v>38</v>
      </c>
      <c r="AH192" s="42" t="s">
        <v>39</v>
      </c>
    </row>
    <row r="193" spans="28:34" ht="12">
      <c r="AB193" s="2">
        <v>0</v>
      </c>
      <c r="AE193" s="2">
        <f>AA193-(AA201+AA200)/2</f>
        <v>-67.18748112005842</v>
      </c>
      <c r="AF193" s="2">
        <f>AB193-AF199</f>
        <v>-6.5</v>
      </c>
      <c r="AG193" s="42">
        <f>AF190*AE193+AF191*AF193</f>
        <v>-67.39955057640623</v>
      </c>
      <c r="AH193" s="42">
        <f>AF190*AF193-AF191*AE193</f>
        <v>3.702458825789247</v>
      </c>
    </row>
    <row r="194" spans="25:34" ht="12">
      <c r="Y194" s="2">
        <v>0</v>
      </c>
      <c r="Z194" s="2">
        <v>10</v>
      </c>
      <c r="AA194" s="2">
        <f>AA192*Y194/100</f>
        <v>0</v>
      </c>
      <c r="AB194" s="2">
        <f>AB192*Z194/100</f>
        <v>1.3</v>
      </c>
      <c r="AE194" s="2">
        <f>AA194-(AA201+AA200)/2</f>
        <v>-67.18748112005842</v>
      </c>
      <c r="AF194" s="2">
        <f>AB194-AF199</f>
        <v>-5.2</v>
      </c>
      <c r="AG194" s="42">
        <f>AF190*AE194+AF191*AF194</f>
        <v>-67.20358199234259</v>
      </c>
      <c r="AH194" s="42">
        <f>AF190*AF194-AF191*AE194</f>
        <v>4.987603297846802</v>
      </c>
    </row>
    <row r="195" spans="25:34" ht="12">
      <c r="Y195" s="2">
        <v>2.5</v>
      </c>
      <c r="Z195" s="2">
        <v>41</v>
      </c>
      <c r="AA195" s="2">
        <f>AA192*Y195/100</f>
        <v>3.7326378400032456</v>
      </c>
      <c r="AB195" s="2">
        <f>AB192*Z195/100</f>
        <v>5.33</v>
      </c>
      <c r="AE195" s="2">
        <f>AA195-(AA201+AA200)/2</f>
        <v>-63.45484328005518</v>
      </c>
      <c r="AF195" s="2">
        <f>AB195-AF199</f>
        <v>-1.17</v>
      </c>
      <c r="AG195" s="42">
        <f>AF190*AE195+AF191*AF195</f>
        <v>-62.90609562307377</v>
      </c>
      <c r="AH195" s="42">
        <f>AF190*AF195-AF191*AE195</f>
        <v>8.40887442866539</v>
      </c>
    </row>
    <row r="196" spans="25:34" ht="12">
      <c r="Y196" s="2">
        <v>5</v>
      </c>
      <c r="Z196" s="2">
        <v>59</v>
      </c>
      <c r="AA196" s="2">
        <f>AA192*Y196/100</f>
        <v>7.465275680006491</v>
      </c>
      <c r="AB196" s="2">
        <f>AB192*Z196/100</f>
        <v>7.67</v>
      </c>
      <c r="AE196" s="2">
        <f>AA196-(AA201+AA200)/2</f>
        <v>-59.72220544005193</v>
      </c>
      <c r="AF196" s="2">
        <f>AB196-AF199</f>
        <v>1.17</v>
      </c>
      <c r="AG196" s="42">
        <f>AF190*AE196+AF191*AF196</f>
        <v>-58.86336841308767</v>
      </c>
      <c r="AH196" s="42">
        <f>AF190*AF196-AF191*AE196</f>
        <v>10.159457745809156</v>
      </c>
    </row>
    <row r="197" spans="25:34" ht="12">
      <c r="Y197" s="2">
        <v>10</v>
      </c>
      <c r="Z197" s="2">
        <v>79</v>
      </c>
      <c r="AA197" s="2">
        <f>AA192*Y197/100</f>
        <v>14.930551360012982</v>
      </c>
      <c r="AB197" s="2">
        <f>AB192*Z197/100</f>
        <v>10.27</v>
      </c>
      <c r="AE197" s="2">
        <f>AA197-(AA201+AA200)/2</f>
        <v>-52.25692976004544</v>
      </c>
      <c r="AF197" s="2">
        <f>AB197-AF199</f>
        <v>3.7699999999999996</v>
      </c>
      <c r="AG197" s="42">
        <f>AF190*AE197+AF191*AF197</f>
        <v>-51.091463727617274</v>
      </c>
      <c r="AH197" s="42">
        <f>AF190*AF197-AF191*AE197</f>
        <v>11.604393224804596</v>
      </c>
    </row>
    <row r="198" spans="25:34" ht="12">
      <c r="Y198" s="2">
        <v>20</v>
      </c>
      <c r="Z198" s="2">
        <v>95</v>
      </c>
      <c r="AA198" s="2">
        <f>AA192*Y198/100</f>
        <v>29.861102720025965</v>
      </c>
      <c r="AB198" s="2">
        <f>AB192*Z198/100</f>
        <v>12.35</v>
      </c>
      <c r="AE198" s="2">
        <f>AA198-(AA201+AA200)/2</f>
        <v>-37.32637840003245</v>
      </c>
      <c r="AF198" s="2">
        <f>AB198-AF199</f>
        <v>5.85</v>
      </c>
      <c r="AG198" s="42">
        <f>AF190*AE198+AF191*AF198</f>
        <v>-36.017978958429225</v>
      </c>
      <c r="AH198" s="42">
        <f>AF190*AF198-AF191*AE198</f>
        <v>11.409917449857346</v>
      </c>
    </row>
    <row r="199" spans="25:34" ht="12">
      <c r="Y199" s="2">
        <v>30</v>
      </c>
      <c r="Z199" s="2">
        <v>100</v>
      </c>
      <c r="AA199" s="2">
        <f>AA192*Y199/100</f>
        <v>44.791654080038946</v>
      </c>
      <c r="AB199" s="2">
        <f>AB192*Z199/100</f>
        <v>13</v>
      </c>
      <c r="AE199" s="2">
        <f>AA199-(AA201+AA200)/2</f>
        <v>-22.395827040019476</v>
      </c>
      <c r="AF199" s="2">
        <f>AB199/2</f>
        <v>6.5</v>
      </c>
      <c r="AG199" s="42">
        <f>AF190*AE199+AF191*AF199</f>
        <v>-21.160059631711174</v>
      </c>
      <c r="AH199" s="42">
        <f>AF190*AF199-AF191*AE199</f>
        <v>9.801782755646787</v>
      </c>
    </row>
    <row r="200" spans="25:34" ht="12">
      <c r="Y200" s="2">
        <v>40</v>
      </c>
      <c r="Z200" s="2">
        <v>99</v>
      </c>
      <c r="AA200" s="2">
        <f>AA192*Y200/100</f>
        <v>59.72220544005193</v>
      </c>
      <c r="AB200" s="2">
        <f>AB192*Z200/100</f>
        <v>12.87</v>
      </c>
      <c r="AE200" s="2">
        <f>AA200-(AA201+AA200)/2</f>
        <v>-7.465275680006492</v>
      </c>
      <c r="AF200" s="2">
        <f>AB200-AF199</f>
        <v>6.369999999999999</v>
      </c>
      <c r="AG200" s="42">
        <f>AF190*AE200+AF191*AF200</f>
        <v>-6.419721455431302</v>
      </c>
      <c r="AH200" s="42">
        <f>AF190*AF200-AF191*AE200</f>
        <v>7.422561378201692</v>
      </c>
    </row>
    <row r="201" spans="25:34" ht="12">
      <c r="Y201" s="2">
        <v>50</v>
      </c>
      <c r="Z201" s="2">
        <v>95</v>
      </c>
      <c r="AA201" s="2">
        <f>AA192*Y201/100</f>
        <v>74.6527568000649</v>
      </c>
      <c r="AB201" s="2">
        <f>AB192*Z201/100</f>
        <v>12.35</v>
      </c>
      <c r="AE201" s="2">
        <f>AA201-(AA201+AA200)/2</f>
        <v>7.465275680006485</v>
      </c>
      <c r="AF201" s="2">
        <f>AB201-AF199</f>
        <v>5.85</v>
      </c>
      <c r="AG201" s="42">
        <f>AF190*AE201+AF191*AF201</f>
        <v>8.261826145629474</v>
      </c>
      <c r="AH201" s="42">
        <f>AF190*AF201-AF191*AE201</f>
        <v>4.657796659139332</v>
      </c>
    </row>
    <row r="202" spans="25:34" ht="12">
      <c r="Y202" s="2">
        <v>60</v>
      </c>
      <c r="Z202" s="2">
        <v>87</v>
      </c>
      <c r="AA202" s="2">
        <f>AA192*Y202/100</f>
        <v>89.58330816007789</v>
      </c>
      <c r="AB202" s="2">
        <f>AB192*Z202/100</f>
        <v>11.31</v>
      </c>
      <c r="AE202" s="2">
        <f>AA202-(AA201+AA200)/2</f>
        <v>22.39582704001947</v>
      </c>
      <c r="AF202" s="2">
        <f>AB202-AF199</f>
        <v>4.8100000000000005</v>
      </c>
      <c r="AG202" s="42">
        <f>AF190*AE202+AF191*AF202</f>
        <v>22.8649863130648</v>
      </c>
      <c r="AH202" s="42">
        <f>AF190*AF202-AF191*AE202</f>
        <v>1.3789741512539493</v>
      </c>
    </row>
    <row r="203" spans="25:34" ht="12">
      <c r="Y203" s="2">
        <v>70</v>
      </c>
      <c r="Z203" s="2">
        <v>74</v>
      </c>
      <c r="AA203" s="2">
        <f>AA192*Y203/100</f>
        <v>104.51385952009086</v>
      </c>
      <c r="AB203" s="2">
        <f>AB192*Z203/100</f>
        <v>9.62</v>
      </c>
      <c r="AE203" s="2">
        <f>AA203-(AA201+AA200)/2</f>
        <v>37.32637840003244</v>
      </c>
      <c r="AF203" s="2">
        <f>AB203-AF199</f>
        <v>3.119999999999999</v>
      </c>
      <c r="AG203" s="42">
        <f>AF190*AE203+AF191*AF203</f>
        <v>37.3701621884683</v>
      </c>
      <c r="AH203" s="42">
        <f>AF190*AF203-AF191*AE203</f>
        <v>-2.542420592660212</v>
      </c>
    </row>
    <row r="204" spans="25:34" ht="12">
      <c r="Y204" s="2">
        <v>80</v>
      </c>
      <c r="Z204" s="2">
        <v>56</v>
      </c>
      <c r="AA204" s="2">
        <f>AA192*Y204/100</f>
        <v>119.44441088010386</v>
      </c>
      <c r="AB204" s="2">
        <f>AB192*Z204/100</f>
        <v>7.28</v>
      </c>
      <c r="AE204" s="2">
        <f>AA204-(AA201+AA200)/2</f>
        <v>52.25692976004544</v>
      </c>
      <c r="AF204" s="2">
        <f>AB204-AF199</f>
        <v>0.7800000000000002</v>
      </c>
      <c r="AG204" s="42">
        <f>AF190*AE204+AF191*AF204</f>
        <v>51.777353771840005</v>
      </c>
      <c r="AH204" s="42">
        <f>AF190*AF204-AF191*AE204</f>
        <v>-7.106387572603152</v>
      </c>
    </row>
    <row r="205" spans="25:34" ht="12">
      <c r="Y205" s="2">
        <v>90</v>
      </c>
      <c r="Z205" s="2">
        <v>35</v>
      </c>
      <c r="AA205" s="2">
        <f>AA192*Y205/100</f>
        <v>134.37496224011684</v>
      </c>
      <c r="AB205" s="2">
        <f>AB192*Z205/100</f>
        <v>4.55</v>
      </c>
      <c r="AE205" s="2">
        <f>AA205-(AA201+AA200)/2</f>
        <v>67.18748112005842</v>
      </c>
      <c r="AF205" s="2">
        <f>AB205-AF199</f>
        <v>-1.9500000000000002</v>
      </c>
      <c r="AG205" s="42">
        <f>AF190*AE205+AF191*AF205</f>
        <v>66.12575477999259</v>
      </c>
      <c r="AH205" s="42">
        <f>AF190*AF205-AF191*AE205</f>
        <v>-12.055897894163358</v>
      </c>
    </row>
    <row r="206" spans="25:34" ht="12">
      <c r="Y206" s="2">
        <v>100</v>
      </c>
      <c r="Z206" s="2">
        <v>7</v>
      </c>
      <c r="AA206" s="2">
        <f>AA192*Y206/100</f>
        <v>149.3055136001298</v>
      </c>
      <c r="AB206" s="2">
        <f>AB192*Z206/100</f>
        <v>0.91</v>
      </c>
      <c r="AE206" s="2">
        <f>AA206-(AA201+AA200)/2</f>
        <v>82.11803248007139</v>
      </c>
      <c r="AF206" s="2">
        <f>AB206-AF199</f>
        <v>-5.59</v>
      </c>
      <c r="AG206" s="42">
        <f>AF190*AE206+AF191*AF206</f>
        <v>80.33697777930064</v>
      </c>
      <c r="AH206" s="42">
        <f>AF190*AF206-AF191*AE206</f>
        <v>-17.90500934616385</v>
      </c>
    </row>
    <row r="207" spans="25:34" ht="12">
      <c r="Y207" s="2">
        <v>100</v>
      </c>
      <c r="AA207" s="2">
        <f>AA192*Y207/100</f>
        <v>149.3055136001298</v>
      </c>
      <c r="AB207" s="2">
        <v>0</v>
      </c>
      <c r="AE207" s="2">
        <f>AA207-(AA201+AA200)/2</f>
        <v>82.11803248007139</v>
      </c>
      <c r="AF207" s="2">
        <f>AB207-AF199</f>
        <v>-6.5</v>
      </c>
      <c r="AG207" s="42">
        <f>AF190*AE207+AF191*AF207</f>
        <v>80.1997997704561</v>
      </c>
      <c r="AH207" s="42">
        <f>AF190*AF207-AF191*AE207</f>
        <v>-18.80461047660414</v>
      </c>
    </row>
    <row r="208" spans="31:34" ht="12">
      <c r="AE208" s="2">
        <f>AE193</f>
        <v>-67.18748112005842</v>
      </c>
      <c r="AF208" s="2">
        <f>AB193-AF199</f>
        <v>-6.5</v>
      </c>
      <c r="AG208" s="42">
        <f>AF190*AE208+AF191*AF208</f>
        <v>-67.39955057640623</v>
      </c>
      <c r="AH208" s="42">
        <f>AF190*AF208-AF191*AE208</f>
        <v>3.702458825789247</v>
      </c>
    </row>
    <row r="211" spans="29:30" ht="12">
      <c r="AC211" s="1" t="s">
        <v>3</v>
      </c>
      <c r="AD211" s="91">
        <f>O31</f>
        <v>560</v>
      </c>
    </row>
    <row r="212" spans="26:32" ht="12">
      <c r="Z212" s="2" t="s">
        <v>32</v>
      </c>
      <c r="AA212" s="2" t="s">
        <v>42</v>
      </c>
      <c r="AC212" s="2" t="s">
        <v>33</v>
      </c>
      <c r="AD212" s="100">
        <f>F31</f>
        <v>7.317894335014715</v>
      </c>
      <c r="AE212" s="2" t="s">
        <v>17</v>
      </c>
      <c r="AF212" s="45">
        <f>L31</f>
        <v>0.9918547237915812</v>
      </c>
    </row>
    <row r="213" spans="27:32" ht="12">
      <c r="AA213" s="2" t="s">
        <v>45</v>
      </c>
      <c r="AE213" s="2" t="s">
        <v>21</v>
      </c>
      <c r="AF213" s="84">
        <f>R31</f>
        <v>0.12737427877058274</v>
      </c>
    </row>
    <row r="214" spans="25:34" ht="12">
      <c r="Y214" s="2" t="s">
        <v>34</v>
      </c>
      <c r="Z214" s="2" t="s">
        <v>35</v>
      </c>
      <c r="AA214" s="4">
        <f>M31</f>
        <v>144.93616233975837</v>
      </c>
      <c r="AB214" s="2">
        <f>P31</f>
        <v>11</v>
      </c>
      <c r="AE214" s="2" t="s">
        <v>36</v>
      </c>
      <c r="AF214" s="2" t="s">
        <v>37</v>
      </c>
      <c r="AG214" s="42" t="s">
        <v>38</v>
      </c>
      <c r="AH214" s="42" t="s">
        <v>39</v>
      </c>
    </row>
    <row r="215" spans="28:34" ht="12">
      <c r="AB215" s="2">
        <v>0</v>
      </c>
      <c r="AE215" s="2">
        <f>AA215-(AA223+AA222)/2</f>
        <v>-65.22127305289126</v>
      </c>
      <c r="AF215" s="2">
        <f>AB215-AF221</f>
        <v>-5.5</v>
      </c>
      <c r="AG215" s="42">
        <f>AF212*AE215+AF213*AF215</f>
        <v>-65.39058630244897</v>
      </c>
      <c r="AH215" s="42">
        <f>AF212*AF215-AF213*AE215</f>
        <v>2.852311634757571</v>
      </c>
    </row>
    <row r="216" spans="25:34" ht="12">
      <c r="Y216" s="2">
        <v>0</v>
      </c>
      <c r="Z216" s="2">
        <v>10</v>
      </c>
      <c r="AA216" s="2">
        <f>AA214*Y216/100</f>
        <v>0</v>
      </c>
      <c r="AB216" s="2">
        <f>AB214*Z216/100</f>
        <v>1.1</v>
      </c>
      <c r="AE216" s="2">
        <f>AA216-(AA223+AA222)/2</f>
        <v>-65.22127305289126</v>
      </c>
      <c r="AF216" s="2">
        <f>AB216-AF221</f>
        <v>-4.4</v>
      </c>
      <c r="AG216" s="42">
        <f>AF212*AE216+AF213*AF216</f>
        <v>-65.25047459580132</v>
      </c>
      <c r="AH216" s="42">
        <f>AF212*AF216-AF213*AE216</f>
        <v>3.94335183092831</v>
      </c>
    </row>
    <row r="217" spans="25:34" ht="12">
      <c r="Y217" s="2">
        <v>2.5</v>
      </c>
      <c r="Z217" s="2">
        <v>41</v>
      </c>
      <c r="AA217" s="2">
        <f>AA214*Y217/100</f>
        <v>3.623404058493959</v>
      </c>
      <c r="AB217" s="2">
        <f>AB214*Z217/100</f>
        <v>4.51</v>
      </c>
      <c r="AE217" s="2">
        <f>AA217-(AA223+AA222)/2</f>
        <v>-61.5978689943973</v>
      </c>
      <c r="AF217" s="2">
        <f>AB217-AF221</f>
        <v>-0.9900000000000002</v>
      </c>
      <c r="AG217" s="42">
        <f>AF212*AE217+AF213*AF217</f>
        <v>-61.22223787357082</v>
      </c>
      <c r="AH217" s="42">
        <f>AF212*AF217-AF213*AE217</f>
        <v>6.864047960412531</v>
      </c>
    </row>
    <row r="218" spans="25:34" ht="12">
      <c r="Y218" s="2">
        <v>5</v>
      </c>
      <c r="Z218" s="2">
        <v>59</v>
      </c>
      <c r="AA218" s="2">
        <f>AA214*Y218/100</f>
        <v>7.246808116987918</v>
      </c>
      <c r="AB218" s="2">
        <f>AB214*Z218/100</f>
        <v>6.49</v>
      </c>
      <c r="AE218" s="2">
        <f>AA218-(AA223+AA222)/2</f>
        <v>-57.97446493590334</v>
      </c>
      <c r="AF218" s="2">
        <f>AB218-AF221</f>
        <v>0.9900000000000002</v>
      </c>
      <c r="AG218" s="42">
        <f>AF212*AE218+AF213*AF218</f>
        <v>-57.376146369982244</v>
      </c>
      <c r="AH218" s="42">
        <f>AF212*AF218-AF213*AE218</f>
        <v>8.366391834874792</v>
      </c>
    </row>
    <row r="219" spans="25:34" ht="12">
      <c r="Y219" s="2">
        <v>10</v>
      </c>
      <c r="Z219" s="2">
        <v>79</v>
      </c>
      <c r="AA219" s="2">
        <f>AA214*Y219/100</f>
        <v>14.493616233975835</v>
      </c>
      <c r="AB219" s="2">
        <f>AB214*Z219/100</f>
        <v>8.69</v>
      </c>
      <c r="AE219" s="2">
        <f>AA219-(AA223+AA222)/2</f>
        <v>-50.72765681891543</v>
      </c>
      <c r="AF219" s="2">
        <f>AB219-AF221</f>
        <v>3.1899999999999995</v>
      </c>
      <c r="AG219" s="42">
        <f>AF212*AE219+AF213*AF219</f>
        <v>-49.90814209344132</v>
      </c>
      <c r="AH219" s="42">
        <f>AF212*AF219-AF213*AE219</f>
        <v>9.62541526992613</v>
      </c>
    </row>
    <row r="220" spans="25:34" ht="12">
      <c r="Y220" s="2">
        <v>20</v>
      </c>
      <c r="Z220" s="2">
        <v>95</v>
      </c>
      <c r="AA220" s="2">
        <f>AA214*Y220/100</f>
        <v>28.98723246795167</v>
      </c>
      <c r="AB220" s="2">
        <f>AB214*Z220/100</f>
        <v>10.45</v>
      </c>
      <c r="AE220" s="2">
        <f>AA220-(AA223+AA222)/2</f>
        <v>-36.23404058493959</v>
      </c>
      <c r="AF220" s="2">
        <f>AB220-AF221</f>
        <v>4.949999999999999</v>
      </c>
      <c r="AG220" s="42">
        <f>AF212*AE220+AF213*AF220</f>
        <v>-35.30840163631382</v>
      </c>
      <c r="AH220" s="42">
        <f>AF212*AF220-AF213*AE220</f>
        <v>9.524965669219032</v>
      </c>
    </row>
    <row r="221" spans="25:34" ht="12">
      <c r="Y221" s="2">
        <v>30</v>
      </c>
      <c r="Z221" s="2">
        <v>100</v>
      </c>
      <c r="AA221" s="2">
        <f>AA214*Y221/100</f>
        <v>43.480848701927506</v>
      </c>
      <c r="AB221" s="2">
        <f>AB214*Z221/100</f>
        <v>11</v>
      </c>
      <c r="AE221" s="2">
        <f>AA221-(AA223+AA222)/2</f>
        <v>-21.740424350963757</v>
      </c>
      <c r="AF221" s="2">
        <f>AB221/2</f>
        <v>5.5</v>
      </c>
      <c r="AG221" s="42">
        <f>AF212*AE221+AF213*AF221</f>
        <v>-20.862784056498718</v>
      </c>
      <c r="AH221" s="42">
        <f>AF212*AF221-AF213*AE221</f>
        <v>8.224371852724119</v>
      </c>
    </row>
    <row r="222" spans="25:34" ht="12">
      <c r="Y222" s="2">
        <v>40</v>
      </c>
      <c r="Z222" s="2">
        <v>99</v>
      </c>
      <c r="AA222" s="2">
        <f>AA214*Y222/100</f>
        <v>57.97446493590334</v>
      </c>
      <c r="AB222" s="2">
        <f>AB214*Z222/100</f>
        <v>10.89</v>
      </c>
      <c r="AE222" s="2">
        <f>AA222-(AA223+AA222)/2</f>
        <v>-7.246808116987921</v>
      </c>
      <c r="AF222" s="2">
        <f>AB222-AF221</f>
        <v>5.390000000000001</v>
      </c>
      <c r="AG222" s="42">
        <f>AF212*AE222+AF213*AF222</f>
        <v>-6.501233500672203</v>
      </c>
      <c r="AH222" s="42">
        <f>AF212*AF222-AF213*AE222</f>
        <v>6.269153918526765</v>
      </c>
    </row>
    <row r="223" spans="25:34" ht="12">
      <c r="Y223" s="2">
        <v>50</v>
      </c>
      <c r="Z223" s="2">
        <v>95</v>
      </c>
      <c r="AA223" s="2">
        <f>AA214*Y223/100</f>
        <v>72.46808116987918</v>
      </c>
      <c r="AB223" s="2">
        <f>AB214*Z223/100</f>
        <v>10.45</v>
      </c>
      <c r="AE223" s="2">
        <f>AA223-(AA223+AA222)/2</f>
        <v>7.246808116987921</v>
      </c>
      <c r="AF223" s="2">
        <f>AB223-AF221</f>
        <v>4.949999999999999</v>
      </c>
      <c r="AG223" s="42">
        <f>AF212*AE223+AF213*AF223</f>
        <v>7.818283543160028</v>
      </c>
      <c r="AH223" s="42">
        <f>AF212*AF223-AF213*AE223</f>
        <v>3.9866239254781854</v>
      </c>
    </row>
    <row r="224" spans="25:34" ht="12">
      <c r="Y224" s="2">
        <v>60</v>
      </c>
      <c r="Z224" s="2">
        <v>87</v>
      </c>
      <c r="AA224" s="2">
        <f>AA214*Y224/100</f>
        <v>86.96169740385501</v>
      </c>
      <c r="AB224" s="2">
        <f>AB214*Z224/100</f>
        <v>9.57</v>
      </c>
      <c r="AE224" s="2">
        <f>AA224-(AA223+AA222)/2</f>
        <v>21.74042435096375</v>
      </c>
      <c r="AF224" s="2">
        <f>AB224-AF221</f>
        <v>4.07</v>
      </c>
      <c r="AG224" s="42">
        <f>AF212*AE224+AF213*AF224</f>
        <v>22.08175590433319</v>
      </c>
      <c r="AH224" s="42">
        <f>AF212*AF224-AF213*AE224</f>
        <v>1.267677853961314</v>
      </c>
    </row>
    <row r="225" spans="25:34" ht="12">
      <c r="Y225" s="2">
        <v>70</v>
      </c>
      <c r="Z225" s="2">
        <v>74</v>
      </c>
      <c r="AA225" s="2">
        <f>AA214*Y225/100</f>
        <v>101.45531363783086</v>
      </c>
      <c r="AB225" s="2">
        <f>AB214*Z225/100</f>
        <v>8.14</v>
      </c>
      <c r="AE225" s="2">
        <f>AA225-(AA223+AA222)/2</f>
        <v>36.23404058493959</v>
      </c>
      <c r="AF225" s="2">
        <f>AB225-AF221</f>
        <v>2.6400000000000006</v>
      </c>
      <c r="AG225" s="42">
        <f>AF212*AE225+AF213*AF225</f>
        <v>36.27517241218254</v>
      </c>
      <c r="AH225" s="42">
        <f>AF212*AF225-AF213*AE225</f>
        <v>-1.9967883156409294</v>
      </c>
    </row>
    <row r="226" spans="25:34" ht="12">
      <c r="Y226" s="2">
        <v>80</v>
      </c>
      <c r="Z226" s="2">
        <v>56</v>
      </c>
      <c r="AA226" s="2">
        <f>AA214*Y226/100</f>
        <v>115.94892987180668</v>
      </c>
      <c r="AB226" s="2">
        <f>AB214*Z226/100</f>
        <v>6.16</v>
      </c>
      <c r="AE226" s="2">
        <f>AA226-(AA223+AA222)/2</f>
        <v>50.72765681891542</v>
      </c>
      <c r="AF226" s="2">
        <f>AB226-AF221</f>
        <v>0.6600000000000001</v>
      </c>
      <c r="AG226" s="42">
        <f>AF212*AE226+AF213*AF226</f>
        <v>50.39853306670806</v>
      </c>
      <c r="AH226" s="42">
        <f>AF212*AF226-AF213*AE226</f>
        <v>-5.806774583328542</v>
      </c>
    </row>
    <row r="227" spans="25:34" ht="12">
      <c r="Y227" s="2">
        <v>90</v>
      </c>
      <c r="Z227" s="2">
        <v>35</v>
      </c>
      <c r="AA227" s="2">
        <f>AA214*Y227/100</f>
        <v>130.44254610578253</v>
      </c>
      <c r="AB227" s="2">
        <f>AB214*Z227/100</f>
        <v>3.85</v>
      </c>
      <c r="AE227" s="2">
        <f>AA227-(AA223+AA222)/2</f>
        <v>65.22127305289126</v>
      </c>
      <c r="AF227" s="2">
        <f>AB227-AF221</f>
        <v>-1.65</v>
      </c>
      <c r="AG227" s="42">
        <f>AF212*AE227+AF213*AF227</f>
        <v>64.47986020923929</v>
      </c>
      <c r="AH227" s="42">
        <f>AF212*AF227-AF213*AE227</f>
        <v>-9.944072909867376</v>
      </c>
    </row>
    <row r="228" spans="25:34" ht="12">
      <c r="Y228" s="2">
        <v>100</v>
      </c>
      <c r="Z228" s="2">
        <v>7</v>
      </c>
      <c r="AA228" s="2">
        <f>AA214*Y228/100</f>
        <v>144.93616233975837</v>
      </c>
      <c r="AB228" s="2">
        <f>AB214*Z228/100</f>
        <v>0.77</v>
      </c>
      <c r="AE228" s="2">
        <f>AA228-(AA223+AA222)/2</f>
        <v>79.7148892868671</v>
      </c>
      <c r="AF228" s="2">
        <f>AB228-AF221</f>
        <v>-4.73</v>
      </c>
      <c r="AG228" s="42">
        <f>AF212*AE228+AF213*AF228</f>
        <v>78.4631091571172</v>
      </c>
      <c r="AH228" s="42">
        <f>AF212*AF228-AF213*AE228</f>
        <v>-14.84509937372573</v>
      </c>
    </row>
    <row r="229" spans="25:34" ht="12">
      <c r="Y229" s="2">
        <v>100</v>
      </c>
      <c r="AA229" s="2">
        <f>AA214*Y229/100</f>
        <v>144.93616233975837</v>
      </c>
      <c r="AB229" s="2">
        <v>0</v>
      </c>
      <c r="AE229" s="2">
        <f>AA229-(AA223+AA222)/2</f>
        <v>79.7148892868671</v>
      </c>
      <c r="AF229" s="2">
        <f>AB229-AF221</f>
        <v>-5.5</v>
      </c>
      <c r="AG229" s="42">
        <f>AF212*AE229+AF213*AF229</f>
        <v>78.36503096246385</v>
      </c>
      <c r="AH229" s="42">
        <f>AF212*AF229-AF213*AE229</f>
        <v>-15.608827511045247</v>
      </c>
    </row>
    <row r="230" spans="31:34" ht="12">
      <c r="AE230" s="2">
        <f>AE215</f>
        <v>-65.22127305289126</v>
      </c>
      <c r="AF230" s="2">
        <f>AB215-AF221</f>
        <v>-5.5</v>
      </c>
      <c r="AG230" s="42">
        <f>AF212*AE230+AF213*AF230</f>
        <v>-65.39058630244897</v>
      </c>
      <c r="AH230" s="42">
        <f>AF212*AF230-AF213*AE230</f>
        <v>2.852311634757571</v>
      </c>
    </row>
    <row r="235" spans="29:30" ht="12">
      <c r="AC235" s="1" t="s">
        <v>3</v>
      </c>
      <c r="AD235" s="91">
        <f>O32</f>
        <v>630</v>
      </c>
    </row>
    <row r="236" spans="26:32" ht="12">
      <c r="Z236" s="2" t="s">
        <v>32</v>
      </c>
      <c r="AA236" s="2" t="s">
        <v>42</v>
      </c>
      <c r="AC236" s="2" t="s">
        <v>33</v>
      </c>
      <c r="AD236" s="100">
        <f>F32</f>
        <v>6.164530553952614</v>
      </c>
      <c r="AE236" s="2" t="s">
        <v>17</v>
      </c>
      <c r="AF236" s="45">
        <f>L32</f>
        <v>0.9942176411811379</v>
      </c>
    </row>
    <row r="237" spans="27:32" ht="12">
      <c r="AA237" s="2" t="s">
        <v>45</v>
      </c>
      <c r="AE237" s="2" t="s">
        <v>21</v>
      </c>
      <c r="AF237" s="84">
        <f>R32</f>
        <v>0.10738380680630631</v>
      </c>
    </row>
    <row r="238" spans="25:34" ht="12">
      <c r="Y238" s="2" t="s">
        <v>34</v>
      </c>
      <c r="Z238" s="2" t="s">
        <v>35</v>
      </c>
      <c r="AA238" s="4">
        <f>M32</f>
        <v>140.72561015588792</v>
      </c>
      <c r="AB238" s="2">
        <f>P32</f>
        <v>8.9</v>
      </c>
      <c r="AE238" s="2" t="s">
        <v>36</v>
      </c>
      <c r="AF238" s="2" t="s">
        <v>37</v>
      </c>
      <c r="AG238" s="42" t="s">
        <v>38</v>
      </c>
      <c r="AH238" s="42" t="s">
        <v>39</v>
      </c>
    </row>
    <row r="239" spans="28:34" ht="12">
      <c r="AB239" s="2">
        <v>0</v>
      </c>
      <c r="AE239" s="2">
        <f>AA239-(AA247+AA246)/2</f>
        <v>-63.326524570149566</v>
      </c>
      <c r="AF239" s="2">
        <f>AB239-AF245</f>
        <v>-4.45</v>
      </c>
      <c r="AG239" s="42">
        <f>AF236*AE239+AF237*AF239</f>
        <v>-63.43820582262153</v>
      </c>
      <c r="AH239" s="42">
        <f>AF236*AF239-AF237*AE239</f>
        <v>2.375974776899687</v>
      </c>
    </row>
    <row r="240" spans="25:34" ht="12">
      <c r="Y240" s="2">
        <v>0</v>
      </c>
      <c r="Z240" s="2">
        <v>10</v>
      </c>
      <c r="AA240" s="2">
        <f>AA238*Y240/100</f>
        <v>0</v>
      </c>
      <c r="AB240" s="2">
        <f>AB238*Z240/100</f>
        <v>0.89</v>
      </c>
      <c r="AE240" s="2">
        <f>AA240-(AA247+AA246)/2</f>
        <v>-63.326524570149566</v>
      </c>
      <c r="AF240" s="2">
        <f>AB240-AF245</f>
        <v>-3.56</v>
      </c>
      <c r="AG240" s="42">
        <f>AF236*AE240+AF237*AF240</f>
        <v>-63.342634234563924</v>
      </c>
      <c r="AH240" s="42">
        <f>AF236*AF240-AF237*AE240</f>
        <v>3.2608284775509</v>
      </c>
    </row>
    <row r="241" spans="25:34" ht="12">
      <c r="Y241" s="2">
        <v>2.5</v>
      </c>
      <c r="Z241" s="2">
        <v>41</v>
      </c>
      <c r="AA241" s="2">
        <f>AA238*Y241/100</f>
        <v>3.518140253897198</v>
      </c>
      <c r="AB241" s="2">
        <f>AB238*Z241/100</f>
        <v>3.6490000000000005</v>
      </c>
      <c r="AE241" s="2">
        <f>AA241-(AA247+AA246)/2</f>
        <v>-59.808384316252365</v>
      </c>
      <c r="AF241" s="2">
        <f>AB241-AF245</f>
        <v>-0.8009999999999997</v>
      </c>
      <c r="AG241" s="42">
        <f>AF236*AE241+AF237*AF241</f>
        <v>-59.548565207011244</v>
      </c>
      <c r="AH241" s="42">
        <f>AF236*AF241-AF237*AE241</f>
        <v>5.6260836562276735</v>
      </c>
    </row>
    <row r="242" spans="25:34" ht="12">
      <c r="Y242" s="2">
        <v>5</v>
      </c>
      <c r="Z242" s="2">
        <v>59</v>
      </c>
      <c r="AA242" s="2">
        <f>AA238*Y242/100</f>
        <v>7.036280507794396</v>
      </c>
      <c r="AB242" s="2">
        <f>AB238*Z242/100</f>
        <v>5.251</v>
      </c>
      <c r="AE242" s="2">
        <f>AA242-(AA247+AA246)/2</f>
        <v>-56.29024406235517</v>
      </c>
      <c r="AF242" s="2">
        <f>AB242-AF245</f>
        <v>0.8010000000000002</v>
      </c>
      <c r="AG242" s="42">
        <f>AF236*AE242+AF237*AF242</f>
        <v>-55.87873924393345</v>
      </c>
      <c r="AH242" s="42">
        <f>AF236*AF242-AF237*AE242</f>
        <v>6.841029024057871</v>
      </c>
    </row>
    <row r="243" spans="25:34" ht="12">
      <c r="Y243" s="2">
        <v>10</v>
      </c>
      <c r="Z243" s="2">
        <v>79</v>
      </c>
      <c r="AA243" s="2">
        <f>AA238*Y243/100</f>
        <v>14.072561015588793</v>
      </c>
      <c r="AB243" s="2">
        <f>AB238*Z243/100</f>
        <v>7.031000000000001</v>
      </c>
      <c r="AE243" s="2">
        <f>AA243-(AA247+AA246)/2</f>
        <v>-49.25396355456077</v>
      </c>
      <c r="AF243" s="2">
        <f>AB243-AF245</f>
        <v>2.5810000000000004</v>
      </c>
      <c r="AG243" s="42">
        <f>AF236*AE243+AF237*AF243</f>
        <v>-48.69200185867006</v>
      </c>
      <c r="AH243" s="42">
        <f>AF236*AF243-AF237*AE243</f>
        <v>7.8551538386763236</v>
      </c>
    </row>
    <row r="244" spans="25:34" ht="12">
      <c r="Y244" s="2">
        <v>20</v>
      </c>
      <c r="Z244" s="2">
        <v>95</v>
      </c>
      <c r="AA244" s="2">
        <f>AA238*Y244/100</f>
        <v>28.145122031177586</v>
      </c>
      <c r="AB244" s="2">
        <f>AB238*Z244/100</f>
        <v>8.455</v>
      </c>
      <c r="AE244" s="2">
        <f>AA244-(AA247+AA246)/2</f>
        <v>-35.18140253897198</v>
      </c>
      <c r="AF244" s="2">
        <f>AB244-AF245</f>
        <v>4.005</v>
      </c>
      <c r="AG244" s="42">
        <f>AF236*AE244+AF237*AF244</f>
        <v>-34.54789889948156</v>
      </c>
      <c r="AH244" s="42">
        <f>AF236*AF244-AF237*AE244</f>
        <v>7.759754586350319</v>
      </c>
    </row>
    <row r="245" spans="25:34" ht="12">
      <c r="Y245" s="2">
        <v>30</v>
      </c>
      <c r="Z245" s="2">
        <v>100</v>
      </c>
      <c r="AA245" s="2">
        <f>AA238*Y245/100</f>
        <v>42.21768304676638</v>
      </c>
      <c r="AB245" s="2">
        <f>AB238*Z245/100</f>
        <v>8.9</v>
      </c>
      <c r="AE245" s="2">
        <f>AA245-(AA247+AA246)/2</f>
        <v>-21.108841523383184</v>
      </c>
      <c r="AF245" s="2">
        <f>AB245/2</f>
        <v>4.45</v>
      </c>
      <c r="AG245" s="42">
        <f>AF236*AE245+AF237*AF245</f>
        <v>-20.508924687156423</v>
      </c>
      <c r="AH245" s="42">
        <f>AF236*AF245-AF237*AE245</f>
        <v>6.691016263307981</v>
      </c>
    </row>
    <row r="246" spans="25:34" ht="12">
      <c r="Y246" s="2">
        <v>40</v>
      </c>
      <c r="Z246" s="2">
        <v>99</v>
      </c>
      <c r="AA246" s="2">
        <f>AA238*Y246/100</f>
        <v>56.29024406235517</v>
      </c>
      <c r="AB246" s="2">
        <f>AB238*Z246/100</f>
        <v>8.811</v>
      </c>
      <c r="AE246" s="2">
        <f>AA246-(AA247+AA246)/2</f>
        <v>-7.036280507794395</v>
      </c>
      <c r="AF246" s="2">
        <f>AB246-AF245</f>
        <v>4.361</v>
      </c>
      <c r="AG246" s="42">
        <f>AF236*AE246+AF237*AF246</f>
        <v>-6.527293427665859</v>
      </c>
      <c r="AH246" s="42">
        <f>AF236*AF246-AF237*AE246</f>
        <v>5.091365719874914</v>
      </c>
    </row>
    <row r="247" spans="25:34" ht="12">
      <c r="Y247" s="2">
        <v>50</v>
      </c>
      <c r="Z247" s="2">
        <v>95</v>
      </c>
      <c r="AA247" s="2">
        <f>AA238*Y247/100</f>
        <v>70.36280507794396</v>
      </c>
      <c r="AB247" s="2">
        <f>AB238*Z247/100</f>
        <v>8.455</v>
      </c>
      <c r="AE247" s="2">
        <f>AA247-(AA247+AA246)/2</f>
        <v>7.036280507794395</v>
      </c>
      <c r="AF247" s="2">
        <f>AB247-AF245</f>
        <v>4.005</v>
      </c>
      <c r="AG247" s="42">
        <f>AF236*AE247+AF237*AF247</f>
        <v>7.425666355407419</v>
      </c>
      <c r="AH247" s="42">
        <f>AF236*AF247-AF237*AE247</f>
        <v>3.226259066246485</v>
      </c>
    </row>
    <row r="248" spans="25:34" ht="12">
      <c r="Y248" s="2">
        <v>60</v>
      </c>
      <c r="Z248" s="2">
        <v>87</v>
      </c>
      <c r="AA248" s="2">
        <f>AA238*Y248/100</f>
        <v>84.43536609353276</v>
      </c>
      <c r="AB248" s="2">
        <f>AB238*Z248/100</f>
        <v>7.743</v>
      </c>
      <c r="AE248" s="2">
        <f>AA248-(AA247+AA246)/2</f>
        <v>21.108841523383198</v>
      </c>
      <c r="AF248" s="2">
        <f>AB248-AF245</f>
        <v>3.293</v>
      </c>
      <c r="AG248" s="42">
        <f>AF236*AE248+AF237*AF248</f>
        <v>21.34039750325767</v>
      </c>
      <c r="AH248" s="42">
        <f>AF236*AF248-AF237*AE248</f>
        <v>1.007210932357569</v>
      </c>
    </row>
    <row r="249" spans="25:34" ht="12">
      <c r="Y249" s="2">
        <v>70</v>
      </c>
      <c r="Z249" s="2">
        <v>74</v>
      </c>
      <c r="AA249" s="2">
        <f>AA238*Y249/100</f>
        <v>98.50792710912154</v>
      </c>
      <c r="AB249" s="2">
        <f>AB238*Z249/100</f>
        <v>6.586</v>
      </c>
      <c r="AE249" s="2">
        <f>AA249-(AA247+AA246)/2</f>
        <v>35.18140253897197</v>
      </c>
      <c r="AF249" s="2">
        <f>AB249-AF245</f>
        <v>2.136</v>
      </c>
      <c r="AG249" s="42">
        <f>AF236*AE249+AF237*AF249</f>
        <v>35.20734285707908</v>
      </c>
      <c r="AH249" s="42">
        <f>AF236*AF249-AF237*AE249</f>
        <v>-1.6542640518569502</v>
      </c>
    </row>
    <row r="250" spans="25:34" ht="12">
      <c r="Y250" s="2">
        <v>80</v>
      </c>
      <c r="Z250" s="2">
        <v>56</v>
      </c>
      <c r="AA250" s="2">
        <f>AA238*Y250/100</f>
        <v>112.58048812471034</v>
      </c>
      <c r="AB250" s="2">
        <f>AB238*Z250/100</f>
        <v>4.984</v>
      </c>
      <c r="AE250" s="2">
        <f>AA250-(AA247+AA246)/2</f>
        <v>49.25396355456078</v>
      </c>
      <c r="AF250" s="2">
        <f>AB250-AF245</f>
        <v>0.5339999999999998</v>
      </c>
      <c r="AG250" s="42">
        <f>AF236*AE250+AF237*AF250</f>
        <v>49.026502416871715</v>
      </c>
      <c r="AH250" s="42">
        <f>AF236*AF250-AF237*AE250</f>
        <v>-4.758165886397078</v>
      </c>
    </row>
    <row r="251" spans="25:34" ht="12">
      <c r="Y251" s="2">
        <v>90</v>
      </c>
      <c r="Z251" s="2">
        <v>35</v>
      </c>
      <c r="AA251" s="2">
        <f>AA238*Y251/100</f>
        <v>126.65304914029913</v>
      </c>
      <c r="AB251" s="2">
        <f>AB238*Z251/100</f>
        <v>3.115</v>
      </c>
      <c r="AE251" s="2">
        <f>AA251-(AA247+AA246)/2</f>
        <v>63.326524570149566</v>
      </c>
      <c r="AF251" s="2">
        <f>AB251-AF245</f>
        <v>-1.335</v>
      </c>
      <c r="AG251" s="42">
        <f>AF236*AE251+AF237*AF251</f>
        <v>62.81699050024705</v>
      </c>
      <c r="AH251" s="42">
        <f>AF236*AF251-AF237*AE251</f>
        <v>-8.12752383113257</v>
      </c>
    </row>
    <row r="252" spans="25:34" ht="12">
      <c r="Y252" s="2">
        <v>100</v>
      </c>
      <c r="Z252" s="2">
        <v>7</v>
      </c>
      <c r="AA252" s="2">
        <f>AA238*Y252/100</f>
        <v>140.72561015588792</v>
      </c>
      <c r="AB252" s="2">
        <f>AB238*Z252/100</f>
        <v>0.623</v>
      </c>
      <c r="AE252" s="2">
        <f>AA252-(AA247+AA246)/2</f>
        <v>77.39908558573836</v>
      </c>
      <c r="AF252" s="2">
        <f>AB252-AF245</f>
        <v>-3.827</v>
      </c>
      <c r="AG252" s="42">
        <f>AF236*AE252+AF237*AF252</f>
        <v>76.54057847198206</v>
      </c>
      <c r="AH252" s="42">
        <f>AF236*AF252-AF237*AE252</f>
        <v>-12.11627936632391</v>
      </c>
    </row>
    <row r="253" spans="25:34" ht="12">
      <c r="Y253" s="2">
        <v>100</v>
      </c>
      <c r="AA253" s="2">
        <f>AA238*Y253/100</f>
        <v>140.72561015588792</v>
      </c>
      <c r="AB253" s="2">
        <v>0</v>
      </c>
      <c r="AE253" s="2">
        <f>AA253-(AA247+AA246)/2</f>
        <v>77.39908558573836</v>
      </c>
      <c r="AF253" s="2">
        <f>AB253-AF245</f>
        <v>-4.45</v>
      </c>
      <c r="AG253" s="42">
        <f>AF236*AE253+AF237*AF253</f>
        <v>76.47367836034174</v>
      </c>
      <c r="AH253" s="42">
        <f>AF236*AF253-AF237*AE253</f>
        <v>-12.73567695677976</v>
      </c>
    </row>
    <row r="254" spans="31:34" ht="12">
      <c r="AE254" s="2">
        <f>AE239</f>
        <v>-63.326524570149566</v>
      </c>
      <c r="AF254" s="2">
        <f>AB239-AF245</f>
        <v>-4.45</v>
      </c>
      <c r="AG254" s="42">
        <f>AF236*AE254+AF237*AF254</f>
        <v>-63.43820582262153</v>
      </c>
      <c r="AH254" s="42">
        <f>AF236*AF254-AF237*AE254</f>
        <v>2.375974776899687</v>
      </c>
    </row>
    <row r="258" spans="29:30" ht="12">
      <c r="AC258" s="1" t="s">
        <v>3</v>
      </c>
      <c r="AD258" s="91">
        <f>O33</f>
        <v>700</v>
      </c>
    </row>
    <row r="259" spans="26:32" ht="12">
      <c r="Z259" s="2" t="s">
        <v>32</v>
      </c>
      <c r="AA259" s="2" t="s">
        <v>42</v>
      </c>
      <c r="AC259" s="2" t="s">
        <v>33</v>
      </c>
      <c r="AD259" s="100">
        <f>F33</f>
        <v>5.170251432347353</v>
      </c>
      <c r="AE259" s="2" t="s">
        <v>17</v>
      </c>
      <c r="AF259" s="45">
        <f>L33</f>
        <v>0.9959313286435074</v>
      </c>
    </row>
    <row r="260" spans="27:32" ht="12">
      <c r="AA260" s="2" t="s">
        <v>45</v>
      </c>
      <c r="AE260" s="2" t="s">
        <v>21</v>
      </c>
      <c r="AF260" s="84">
        <f>R33</f>
        <v>0.0901154183609998</v>
      </c>
    </row>
    <row r="261" spans="25:34" ht="12">
      <c r="Y261" s="2" t="s">
        <v>34</v>
      </c>
      <c r="Z261" s="2" t="s">
        <v>35</v>
      </c>
      <c r="AA261" s="4">
        <f>M33</f>
        <v>136.31527450729803</v>
      </c>
      <c r="AB261" s="2">
        <f>P33</f>
        <v>7.1</v>
      </c>
      <c r="AE261" s="2" t="s">
        <v>36</v>
      </c>
      <c r="AF261" s="2" t="s">
        <v>37</v>
      </c>
      <c r="AG261" s="42" t="s">
        <v>38</v>
      </c>
      <c r="AH261" s="42" t="s">
        <v>39</v>
      </c>
    </row>
    <row r="262" spans="28:34" ht="12">
      <c r="AB262" s="2">
        <v>0</v>
      </c>
      <c r="AE262" s="2">
        <f>AA262-(AA270+AA269)/2</f>
        <v>-61.34187352828411</v>
      </c>
      <c r="AF262" s="2">
        <f>AB262-AF268</f>
        <v>-3.55</v>
      </c>
      <c r="AG262" s="42">
        <f>AF259*AE262+AF260*AF262</f>
        <v>-61.41220333968754</v>
      </c>
      <c r="AH262" s="42">
        <f>AF259*AF262-AF260*AE262</f>
        <v>1.9922923793644105</v>
      </c>
    </row>
    <row r="263" spans="25:34" ht="12">
      <c r="Y263" s="2">
        <v>0</v>
      </c>
      <c r="Z263" s="2">
        <v>10</v>
      </c>
      <c r="AA263" s="2">
        <f>AA261*Y263/100</f>
        <v>0</v>
      </c>
      <c r="AB263" s="2">
        <f>AB261*Z263/100</f>
        <v>0.71</v>
      </c>
      <c r="AE263" s="2">
        <f>AA263-(AA270+AA269)/2</f>
        <v>-61.34187352828411</v>
      </c>
      <c r="AF263" s="2">
        <f>AB263-AF268</f>
        <v>-2.84</v>
      </c>
      <c r="AG263" s="42">
        <f>AF259*AE263+AF260*AF263</f>
        <v>-61.348221392651226</v>
      </c>
      <c r="AH263" s="42">
        <f>AF259*AF263-AF260*AE263</f>
        <v>2.6994036227013005</v>
      </c>
    </row>
    <row r="264" spans="25:34" ht="12">
      <c r="Y264" s="2">
        <v>2.5</v>
      </c>
      <c r="Z264" s="2">
        <v>41</v>
      </c>
      <c r="AA264" s="2">
        <f>AA261*Y264/100</f>
        <v>3.4078818626824505</v>
      </c>
      <c r="AB264" s="2">
        <f>AB261*Z264/100</f>
        <v>2.9109999999999996</v>
      </c>
      <c r="AE264" s="2">
        <f>AA264-(AA270+AA269)/2</f>
        <v>-57.93399166560166</v>
      </c>
      <c r="AF264" s="2">
        <f>AB264-AF268</f>
        <v>-0.6390000000000002</v>
      </c>
      <c r="AG264" s="42">
        <f>AF259*AE264+AF260*AF264</f>
        <v>-57.755861045477225</v>
      </c>
      <c r="AH264" s="42">
        <f>AF259*AF264-AF260*AE264</f>
        <v>4.584345777265169</v>
      </c>
    </row>
    <row r="265" spans="25:34" ht="12">
      <c r="Y265" s="2">
        <v>5</v>
      </c>
      <c r="Z265" s="2">
        <v>59</v>
      </c>
      <c r="AA265" s="2">
        <f>AA261*Y265/100</f>
        <v>6.815763725364901</v>
      </c>
      <c r="AB265" s="2">
        <f>AB261*Z265/100</f>
        <v>4.189</v>
      </c>
      <c r="AE265" s="2">
        <f>AA265-(AA270+AA269)/2</f>
        <v>-54.52610980291921</v>
      </c>
      <c r="AF265" s="2">
        <f>AB265-AF268</f>
        <v>0.6390000000000002</v>
      </c>
      <c r="AG265" s="42">
        <f>AF259*AE265+AF260*AF265</f>
        <v>-54.24667722945043</v>
      </c>
      <c r="AH265" s="42">
        <f>AF259*AF265-AF260*AE265</f>
        <v>5.550043315491078</v>
      </c>
    </row>
    <row r="266" spans="25:34" ht="12">
      <c r="Y266" s="2">
        <v>10</v>
      </c>
      <c r="Z266" s="2">
        <v>79</v>
      </c>
      <c r="AA266" s="2">
        <f>AA261*Y266/100</f>
        <v>13.631527450729802</v>
      </c>
      <c r="AB266" s="2">
        <f>AB261*Z266/100</f>
        <v>5.609</v>
      </c>
      <c r="AE266" s="2">
        <f>AA266-(AA270+AA269)/2</f>
        <v>-47.710346077554306</v>
      </c>
      <c r="AF266" s="2">
        <f>AB266-AF268</f>
        <v>2.059</v>
      </c>
      <c r="AG266" s="42">
        <f>AF259*AE266+AF260*AF266</f>
        <v>-47.33068071265492</v>
      </c>
      <c r="AH266" s="42">
        <f>AF259*AF266-AF260*AE266</f>
        <v>6.350060402603874</v>
      </c>
    </row>
    <row r="267" spans="25:34" ht="12">
      <c r="Y267" s="2">
        <v>20</v>
      </c>
      <c r="Z267" s="2">
        <v>95</v>
      </c>
      <c r="AA267" s="2">
        <f>AA261*Y267/100</f>
        <v>27.263054901459604</v>
      </c>
      <c r="AB267" s="2">
        <f>AB261*Z267/100</f>
        <v>6.745</v>
      </c>
      <c r="AE267" s="2">
        <f>AA267-(AA270+AA269)/2</f>
        <v>-34.07881862682451</v>
      </c>
      <c r="AF267" s="2">
        <f>AB267-AF268</f>
        <v>3.1950000000000003</v>
      </c>
      <c r="AG267" s="42">
        <f>AF259*AE267+AF260*AF267</f>
        <v>-33.65224435195105</v>
      </c>
      <c r="AH267" s="42">
        <f>AF259*AF267-AF260*AE267</f>
        <v>6.25302759282093</v>
      </c>
    </row>
    <row r="268" spans="25:34" ht="12">
      <c r="Y268" s="2">
        <v>30</v>
      </c>
      <c r="Z268" s="2">
        <v>100</v>
      </c>
      <c r="AA268" s="2">
        <f>AA261*Y268/100</f>
        <v>40.89458235218941</v>
      </c>
      <c r="AB268" s="2">
        <f>AB261*Z268/100</f>
        <v>7.1</v>
      </c>
      <c r="AE268" s="2">
        <f>AA268-(AA270+AA269)/2</f>
        <v>-20.4472911760947</v>
      </c>
      <c r="AF268" s="2">
        <f>AB268/2</f>
        <v>3.55</v>
      </c>
      <c r="AG268" s="42">
        <f>AF259*AE268+AF260*AF268</f>
        <v>-20.04418813298711</v>
      </c>
      <c r="AH268" s="42">
        <f>AF259*AF268-AF260*AE268</f>
        <v>5.378172415367405</v>
      </c>
    </row>
    <row r="269" spans="25:34" ht="12">
      <c r="Y269" s="2">
        <v>40</v>
      </c>
      <c r="Z269" s="2">
        <v>99</v>
      </c>
      <c r="AA269" s="2">
        <f>AA261*Y269/100</f>
        <v>54.52610980291921</v>
      </c>
      <c r="AB269" s="2">
        <f>AB261*Z269/100</f>
        <v>7.029</v>
      </c>
      <c r="AE269" s="2">
        <f>AA269-(AA270+AA269)/2</f>
        <v>-6.815763725364903</v>
      </c>
      <c r="AF269" s="2">
        <f>AB269-AF268</f>
        <v>3.479</v>
      </c>
      <c r="AG269" s="42">
        <f>AF259*AE269+AF260*AF269</f>
        <v>-6.474521082244971</v>
      </c>
      <c r="AH269" s="42">
        <f>AF259*AF269-AF260*AE269</f>
        <v>4.079050491911747</v>
      </c>
    </row>
    <row r="270" spans="25:34" ht="12">
      <c r="Y270" s="2">
        <v>50</v>
      </c>
      <c r="Z270" s="2">
        <v>95</v>
      </c>
      <c r="AA270" s="2">
        <f>AA261*Y270/100</f>
        <v>68.15763725364901</v>
      </c>
      <c r="AB270" s="2">
        <f>AB261*Z270/100</f>
        <v>6.745</v>
      </c>
      <c r="AE270" s="2">
        <f>AA270-(AA270+AA269)/2</f>
        <v>6.815763725364903</v>
      </c>
      <c r="AF270" s="2">
        <f>AB270-AF268</f>
        <v>3.1950000000000003</v>
      </c>
      <c r="AG270" s="42">
        <f>AF259*AE270+AF260*AF270</f>
        <v>7.075951384386284</v>
      </c>
      <c r="AH270" s="42">
        <f>AF259*AF270-AF260*AE270</f>
        <v>2.5677951954550218</v>
      </c>
    </row>
    <row r="271" spans="25:34" ht="12">
      <c r="Y271" s="2">
        <v>60</v>
      </c>
      <c r="Z271" s="2">
        <v>87</v>
      </c>
      <c r="AA271" s="2">
        <f>AA261*Y271/100</f>
        <v>81.78916470437882</v>
      </c>
      <c r="AB271" s="2">
        <f>AB261*Z271/100</f>
        <v>6.177</v>
      </c>
      <c r="AE271" s="2">
        <f>AA271-(AA270+AA269)/2</f>
        <v>20.44729117609471</v>
      </c>
      <c r="AF271" s="2">
        <f>AB271-AF268</f>
        <v>2.627</v>
      </c>
      <c r="AG271" s="42">
        <f>AF259*AE271+AF260*AF271</f>
        <v>20.600831072203015</v>
      </c>
      <c r="AH271" s="42">
        <f>AF259*AF271-AF260*AE271</f>
        <v>0.7736954016635396</v>
      </c>
    </row>
    <row r="272" spans="25:34" ht="12">
      <c r="Y272" s="2">
        <v>70</v>
      </c>
      <c r="Z272" s="2">
        <v>74</v>
      </c>
      <c r="AA272" s="2">
        <f>AA261*Y272/100</f>
        <v>95.42069215510863</v>
      </c>
      <c r="AB272" s="2">
        <f>AB261*Z272/100</f>
        <v>5.254</v>
      </c>
      <c r="AE272" s="2">
        <f>AA272-(AA270+AA269)/2</f>
        <v>34.078818626824514</v>
      </c>
      <c r="AF272" s="2">
        <f>AB272-AF268</f>
        <v>1.7039999999999997</v>
      </c>
      <c r="AG272" s="42">
        <f>AF259*AE272+AF260*AF272</f>
        <v>34.09371978650159</v>
      </c>
      <c r="AH272" s="42">
        <f>AF259*AF272-AF260*AE272</f>
        <v>-1.3739600137963874</v>
      </c>
    </row>
    <row r="273" spans="25:34" ht="12">
      <c r="Y273" s="2">
        <v>80</v>
      </c>
      <c r="Z273" s="2">
        <v>56</v>
      </c>
      <c r="AA273" s="2">
        <f>AA261*Y273/100</f>
        <v>109.05221960583842</v>
      </c>
      <c r="AB273" s="2">
        <f>AB261*Z273/100</f>
        <v>3.9759999999999995</v>
      </c>
      <c r="AE273" s="2">
        <f>AA273-(AA270+AA269)/2</f>
        <v>47.710346077554306</v>
      </c>
      <c r="AF273" s="2">
        <f>AB273-AF268</f>
        <v>0.4259999999999997</v>
      </c>
      <c r="AG273" s="42">
        <f>AF259*AE273+AF260*AF273</f>
        <v>47.554617527282</v>
      </c>
      <c r="AH273" s="42">
        <f>AF259*AF273-AF260*AE273</f>
        <v>-3.8751710509247577</v>
      </c>
    </row>
    <row r="274" spans="25:34" ht="12">
      <c r="Y274" s="2">
        <v>90</v>
      </c>
      <c r="Z274" s="2">
        <v>35</v>
      </c>
      <c r="AA274" s="2">
        <f>AA261*Y274/100</f>
        <v>122.68374705656822</v>
      </c>
      <c r="AB274" s="2">
        <f>AB261*Z274/100</f>
        <v>2.485</v>
      </c>
      <c r="AE274" s="2">
        <f>AA274-(AA270+AA269)/2</f>
        <v>61.34187352828411</v>
      </c>
      <c r="AF274" s="2">
        <f>AB274-AF268</f>
        <v>-1.065</v>
      </c>
      <c r="AG274" s="42">
        <f>AF259*AE274+AF260*AF274</f>
        <v>60.996320683951524</v>
      </c>
      <c r="AH274" s="42">
        <f>AF259*AF274-AF260*AE274</f>
        <v>-6.588515461054197</v>
      </c>
    </row>
    <row r="275" spans="25:34" ht="12">
      <c r="Y275" s="2">
        <v>100</v>
      </c>
      <c r="Z275" s="2">
        <v>7</v>
      </c>
      <c r="AA275" s="2">
        <f>AA261*Y275/100</f>
        <v>136.31527450729803</v>
      </c>
      <c r="AB275" s="2">
        <f>AB261*Z275/100</f>
        <v>0.49699999999999994</v>
      </c>
      <c r="AE275" s="2">
        <f>AA275-(AA270+AA269)/2</f>
        <v>74.97340097901392</v>
      </c>
      <c r="AF275" s="2">
        <f>AB275-AF268</f>
        <v>-3.053</v>
      </c>
      <c r="AG275" s="42">
        <f>AF259*AE275+AF260*AF275</f>
        <v>74.39323647769564</v>
      </c>
      <c r="AH275" s="42">
        <f>AF259*AF275-AF260*AE275</f>
        <v>-9.79683774151946</v>
      </c>
    </row>
    <row r="276" spans="25:34" ht="12">
      <c r="Y276" s="2">
        <v>100</v>
      </c>
      <c r="AA276" s="2">
        <f>AA261*Y276/100</f>
        <v>136.31527450729803</v>
      </c>
      <c r="AB276" s="2">
        <v>0</v>
      </c>
      <c r="AE276" s="2">
        <f>AA276-(AA270+AA269)/2</f>
        <v>74.97340097901392</v>
      </c>
      <c r="AF276" s="2">
        <f>AB276-AF268</f>
        <v>-3.55</v>
      </c>
      <c r="AG276" s="42">
        <f>AF259*AE276+AF260*AF276</f>
        <v>74.34844911477022</v>
      </c>
      <c r="AH276" s="42">
        <f>AF259*AF276-AF260*AE276</f>
        <v>-10.291815611855283</v>
      </c>
    </row>
    <row r="277" spans="31:34" ht="12">
      <c r="AE277" s="2">
        <f>AE262</f>
        <v>-61.34187352828411</v>
      </c>
      <c r="AF277" s="2">
        <f>AB262-AF268</f>
        <v>-3.55</v>
      </c>
      <c r="AG277" s="42">
        <f>AF259*AE277+AF260*AF277</f>
        <v>-61.41220333968754</v>
      </c>
      <c r="AH277" s="42">
        <f>AF259*AF277-AF260*AE277</f>
        <v>1.9922923793644105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</dc:creator>
  <cp:keywords/>
  <dc:description/>
  <cp:lastModifiedBy>ILD</cp:lastModifiedBy>
  <cp:lastPrinted>2006-05-01T17:04:08Z</cp:lastPrinted>
  <dcterms:created xsi:type="dcterms:W3CDTF">2005-10-15T08:44:07Z</dcterms:created>
  <dcterms:modified xsi:type="dcterms:W3CDTF">2006-12-27T16:16:54Z</dcterms:modified>
  <cp:category/>
  <cp:version/>
  <cp:contentType/>
  <cp:contentStatus/>
</cp:coreProperties>
</file>